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800" windowHeight="10350" firstSheet="1" activeTab="2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DŹWIGI N01" sheetId="16" r:id="rId16"/>
    <sheet name="DŹWIGI N03" sheetId="17" r:id="rId17"/>
    <sheet name="DŹWIGI N04" sheetId="18" r:id="rId18"/>
    <sheet name="DŹWIGI N06" sheetId="19" r:id="rId19"/>
    <sheet name="DŹWIGI N07" sheetId="20" r:id="rId20"/>
    <sheet name="DŹWIGI N18" sheetId="21" r:id="rId21"/>
    <sheet name="Arkusz3" sheetId="22" r:id="rId22"/>
  </sheets>
  <definedNames>
    <definedName name="_xlnm.Print_Area" localSheetId="6">'N06'!$A$1:$K$41</definedName>
    <definedName name="_xlnm.Print_Titles" localSheetId="15">'DŹWIGI N01'!$1:$7</definedName>
    <definedName name="_xlnm.Print_Titles" localSheetId="16">'DŹWIGI N03'!$1:$7</definedName>
    <definedName name="_xlnm.Print_Titles" localSheetId="17">'DŹWIGI N04'!$1:$7</definedName>
    <definedName name="_xlnm.Print_Titles" localSheetId="18">'DŹWIGI N06'!$1:$7</definedName>
    <definedName name="_xlnm.Print_Titles" localSheetId="19">'DŹWIGI N07'!$1:$7</definedName>
    <definedName name="_xlnm.Print_Titles" localSheetId="20">'DŹWIGI N18'!$1:$7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<sst xmlns="http://schemas.openxmlformats.org/spreadsheetml/2006/main" count="1132" uniqueCount="264">
  <si>
    <t>Adres</t>
  </si>
  <si>
    <t>Opis robót remontowych</t>
  </si>
  <si>
    <t>Uwagi</t>
  </si>
  <si>
    <t>Obcy</t>
  </si>
  <si>
    <t>Ekipa</t>
  </si>
  <si>
    <t>WSM Adm. Osiedla "MŁOCINY"</t>
  </si>
  <si>
    <t>m2</t>
  </si>
  <si>
    <t>zł/m2</t>
  </si>
  <si>
    <t>stawka =</t>
  </si>
  <si>
    <t>L.p.</t>
  </si>
  <si>
    <t>Zakres plan.</t>
  </si>
  <si>
    <t>Zakres wyk.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</si>
  <si>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</si>
  <si>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</si>
  <si>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</si>
  <si>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</si>
  <si>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</si>
  <si>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</si>
  <si>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Wrzeciono 12</t>
  </si>
  <si>
    <t>Rezerwa na awarie i roboty nieprzewidziane</t>
  </si>
  <si>
    <t>Przy Agorze 3</t>
  </si>
  <si>
    <t>N01</t>
  </si>
  <si>
    <t>N02</t>
  </si>
  <si>
    <t>N04</t>
  </si>
  <si>
    <t>N03</t>
  </si>
  <si>
    <t>ilość lokali =</t>
  </si>
  <si>
    <t>II. NALICZENIE ROCZNE funduszu remontowego nieruchomości:</t>
  </si>
  <si>
    <t>szt</t>
  </si>
  <si>
    <t>SFR</t>
  </si>
  <si>
    <t>Wrzeciono 6</t>
  </si>
  <si>
    <t>N08</t>
  </si>
  <si>
    <t>N18</t>
  </si>
  <si>
    <t>III. ODPIS na SFR:</t>
  </si>
  <si>
    <t>II. ODPIS z naliczenia funduszy remontowych nieruchomości:</t>
  </si>
  <si>
    <t>VIII. RAZEM WYDATKI:</t>
  </si>
  <si>
    <t>VII. ŚRODKI DO WYKORZYSTANIA (I+II+III+IV+VI):</t>
  </si>
  <si>
    <t>IV. DODATKOWE ZASILENIA:</t>
  </si>
  <si>
    <t>Wrzec. 57B/59-59C</t>
  </si>
  <si>
    <t>pow. garaży =</t>
  </si>
  <si>
    <t>IV. DODATKOWE ZASILENIA (refundacja od mieszkańców):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</si>
  <si>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</si>
  <si>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</si>
  <si>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</si>
  <si>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</si>
  <si>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</si>
  <si>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</si>
  <si>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</si>
  <si>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</si>
  <si>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</si>
  <si>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</si>
  <si>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Nieruchomość 01 - dźwigi</t>
  </si>
  <si>
    <t>Nieruchomość 03 - dźwigi</t>
  </si>
  <si>
    <t>Nieruchomość 04 - dźwigi</t>
  </si>
  <si>
    <t>Nieruchomość 06 - dźwigi</t>
  </si>
  <si>
    <t>Nieruchomość 07 - dźwigi</t>
  </si>
  <si>
    <t>RAZEM WSZYSTKIE FUNDUSZE</t>
  </si>
  <si>
    <t>N06</t>
  </si>
  <si>
    <t>N07</t>
  </si>
  <si>
    <t>N09</t>
  </si>
  <si>
    <t>GARAŻE</t>
  </si>
  <si>
    <t>DŹWIGI</t>
  </si>
  <si>
    <t>MIESZKANIA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</si>
  <si>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</si>
  <si>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</si>
  <si>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</si>
  <si>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</si>
  <si>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</si>
  <si>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</si>
  <si>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</si>
  <si>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Szegedyńska 5 ; Wrzeciono 52</t>
  </si>
  <si>
    <t>Wrzeciono 57B,59,59A,59B,59C</t>
  </si>
  <si>
    <t>Szegedyńska 2,6</t>
  </si>
  <si>
    <t>Nieruchomość 18 - dźwigi</t>
  </si>
  <si>
    <t>Nieruchomość N01 - garaże</t>
  </si>
  <si>
    <t>Nieruchomość N04 - garaże</t>
  </si>
  <si>
    <t>Nieruchomość N06 - garaże</t>
  </si>
  <si>
    <t>Nieruchomość N02 - garaże</t>
  </si>
  <si>
    <t>V. ZASILENIE z SFR:</t>
  </si>
  <si>
    <t>V. ZASILENIE NIERUCHOMOŚCI z SFR:</t>
  </si>
  <si>
    <t xml:space="preserve"> </t>
  </si>
  <si>
    <t>Lokale użytkowe</t>
  </si>
  <si>
    <t>strona 1 z 21</t>
  </si>
  <si>
    <t>strona 2 z 21</t>
  </si>
  <si>
    <t>strona 3 z 21</t>
  </si>
  <si>
    <t>strona 4 z 21</t>
  </si>
  <si>
    <t>strona 5 z 21</t>
  </si>
  <si>
    <t>strona 6 z 21</t>
  </si>
  <si>
    <t>strona 7 z 21</t>
  </si>
  <si>
    <t>strona 8 z 21</t>
  </si>
  <si>
    <t>strona 9 z 21</t>
  </si>
  <si>
    <t>strona 10 z 21</t>
  </si>
  <si>
    <t>strona 11 z 21</t>
  </si>
  <si>
    <t>strona 12 z 21</t>
  </si>
  <si>
    <t>strona 13 z 21</t>
  </si>
  <si>
    <t>strona 14 z 21</t>
  </si>
  <si>
    <t>strona 15 z 21</t>
  </si>
  <si>
    <t>strona 16 z 21</t>
  </si>
  <si>
    <t>strona 17 z 21</t>
  </si>
  <si>
    <t>strona 18 z 21</t>
  </si>
  <si>
    <t>strona 19 z 21</t>
  </si>
  <si>
    <t>strona 20 z 21</t>
  </si>
  <si>
    <t>strona 21 z 21</t>
  </si>
  <si>
    <t>pow. użyt. lokali mieszkalnych (bez WSS SPOŁEM) =</t>
  </si>
  <si>
    <t>UŻYTKOWE</t>
  </si>
  <si>
    <t>Wrzeciono 10C, Szegedyńska 3, Przy Agorze 1</t>
  </si>
  <si>
    <t>m2         stawka =</t>
  </si>
  <si>
    <t>4,0 lub 1,70</t>
  </si>
  <si>
    <t>Szegedyńska 3A,3B,7,9, Wrzeciono 54</t>
  </si>
  <si>
    <t>Wrzeciono 10B</t>
  </si>
  <si>
    <t>VI. ŚRODKI SFR-Osiedla DO WYKORZYSTANIA (I+II+III+IV+V):</t>
  </si>
  <si>
    <t>VI. ŚRODKI DO WYKORZYSTANIA (I+II+III+IV+V):</t>
  </si>
  <si>
    <t>V. ZASILENIE z SFR SPÓŁDZIELNI:</t>
  </si>
  <si>
    <t>SCENTRALIZOWANY FUNDUSZ REMONTOWY LOKALI UŻYTKOWYCH</t>
  </si>
  <si>
    <t>VII. RAZEM WYDATKI:</t>
  </si>
  <si>
    <t>III. Odpisy obciążające koszty eksploatacji dźwigów:</t>
  </si>
  <si>
    <t>IV. SUMA DODATKOWYCH ZASILEŃ</t>
  </si>
  <si>
    <t>I. SALDO na początek okresu</t>
  </si>
  <si>
    <t>II. Odpisy od lokali mieszkalnych i użytkowych:</t>
  </si>
  <si>
    <t xml:space="preserve">VI. Pożyczka wewnętrzna z SFR Spółdzielni </t>
  </si>
  <si>
    <t>IX. SALDO NA KONIEC OKRESU (VII-VIII):</t>
  </si>
  <si>
    <t>VIII. SALDO NA KONIEC OKRESU (VI-VII):</t>
  </si>
  <si>
    <t>Wartość plan roczna</t>
  </si>
  <si>
    <t>zł/os</t>
  </si>
  <si>
    <t>zł/los</t>
  </si>
  <si>
    <t>14.85</t>
  </si>
  <si>
    <t>W52, Sz5</t>
  </si>
  <si>
    <t>% wykonania</t>
  </si>
  <si>
    <t>I. SALDO na początek okresu:</t>
  </si>
  <si>
    <t>PLAN RZECZOWY NA ROK 2021</t>
  </si>
  <si>
    <t>PROJEKT 1</t>
  </si>
  <si>
    <t>5 rata spłaty pożyczki 5-cio letniej z SFR Spół.</t>
  </si>
  <si>
    <t>PA1A,SZ3</t>
  </si>
  <si>
    <t>wymiana instalacji wodno-kanalizacyjnej</t>
  </si>
  <si>
    <t>W10C</t>
  </si>
  <si>
    <t>wymiana okien w przyziemiu od strony patio</t>
  </si>
  <si>
    <t>W52</t>
  </si>
  <si>
    <t>remont parteru klatki schodowej</t>
  </si>
  <si>
    <t>Legalizacja wodomiarów Z.W. i C.W.</t>
  </si>
  <si>
    <t>652 szt</t>
  </si>
  <si>
    <t>W8A</t>
  </si>
  <si>
    <t>223 szt.</t>
  </si>
  <si>
    <t>Naprawa balkonów, loggii, tarasów</t>
  </si>
  <si>
    <t>Legalizacja wodomierzy Z.W. i C.W.</t>
  </si>
  <si>
    <t>852 szt.</t>
  </si>
  <si>
    <t>Wrzec. 57B, 59-59C</t>
  </si>
  <si>
    <t>M 137/139</t>
  </si>
  <si>
    <t>2 paw.</t>
  </si>
  <si>
    <t>W8,W8A,W10</t>
  </si>
  <si>
    <t>Montaż zaworów cyrkulacyjnych C.W.</t>
  </si>
  <si>
    <t>Załącznik do Uchwały RN nr 18/2021 z dn. 22.03.2021r.</t>
  </si>
  <si>
    <t>Naprawa opaski</t>
  </si>
  <si>
    <t>Sz1</t>
  </si>
  <si>
    <t>wymiana pionu grzejnego</t>
  </si>
  <si>
    <t>Sz5</t>
  </si>
  <si>
    <t>wymiana wodomierzy</t>
  </si>
  <si>
    <t>Sz5A</t>
  </si>
  <si>
    <t>naprawa instalacji monitoringu</t>
  </si>
  <si>
    <t>Roboty dekarskie</t>
  </si>
  <si>
    <t>Sz8</t>
  </si>
  <si>
    <t>W50</t>
  </si>
  <si>
    <t>Kosztorysy ,projekty</t>
  </si>
  <si>
    <t>roboty kominiarskie</t>
  </si>
  <si>
    <t>Projekty, kosztorysy</t>
  </si>
  <si>
    <t>Instalacje elektryczne</t>
  </si>
  <si>
    <t>W10</t>
  </si>
  <si>
    <t>W6</t>
  </si>
  <si>
    <t>Kosztorys remontu klatki schodowej</t>
  </si>
  <si>
    <t>Projekty, kosztorysy,uzgodn. dot. balkonów</t>
  </si>
  <si>
    <t>instalacja elektryczna</t>
  </si>
  <si>
    <t>Naprawa monitoringu</t>
  </si>
  <si>
    <t>Naprawa dźwigów</t>
  </si>
  <si>
    <t>W59</t>
  </si>
  <si>
    <t>Instalacje wodno-kanalizacyjne</t>
  </si>
  <si>
    <t>W59C</t>
  </si>
  <si>
    <t>W59B</t>
  </si>
  <si>
    <t>remont klatki schodowej 4kl</t>
  </si>
  <si>
    <t>W57B</t>
  </si>
  <si>
    <t>Wymiana wodomierzy</t>
  </si>
  <si>
    <t>roboty dekarskie</t>
  </si>
  <si>
    <t>Naprawa balkonu</t>
  </si>
  <si>
    <t>M137</t>
  </si>
  <si>
    <t>wykonanie zadaszenia nad wejściem</t>
  </si>
  <si>
    <t>Drobne prace remontowe</t>
  </si>
  <si>
    <t>odpadający gres</t>
  </si>
  <si>
    <t>wypadek samoch.</t>
  </si>
  <si>
    <t>PA1</t>
  </si>
  <si>
    <t>Remont lokalu uzytkowego przed wynajęciem</t>
  </si>
  <si>
    <t>Remont zadaszenia nad wejściem do klatki</t>
  </si>
  <si>
    <t>2 kl</t>
  </si>
  <si>
    <t>Naprawa posadzki w piwnicy</t>
  </si>
  <si>
    <t>Wymiana poziomów Z.W. i C.W. + projekt</t>
  </si>
  <si>
    <t>Naprawa elewacji</t>
  </si>
  <si>
    <t>modernizacja inst. domofonowej</t>
  </si>
  <si>
    <t>M131</t>
  </si>
  <si>
    <t>M129</t>
  </si>
  <si>
    <t>Kontrola inst. elektrycznej</t>
  </si>
  <si>
    <t>W54</t>
  </si>
  <si>
    <t>przeksiegowano saldo dżwigów N01</t>
  </si>
  <si>
    <t>przeksiegowano saldo dżwigów N03</t>
  </si>
  <si>
    <t>przeksiegowano saldo dżwigów N04</t>
  </si>
  <si>
    <t>przeksiegowano saldo dżwigów N06</t>
  </si>
  <si>
    <t>przeksiegowano saldo dżwigów N07</t>
  </si>
  <si>
    <t>przeksiegowano saldo dżwigów N018</t>
  </si>
  <si>
    <t>przeniesiono saldo do lokali mieszkalnych od 01.07.2021</t>
  </si>
  <si>
    <t>III kw</t>
  </si>
  <si>
    <t>I kw</t>
  </si>
  <si>
    <t>II kw</t>
  </si>
  <si>
    <t>przeksiegowano salda i naliczenia z dźwigów na lokale mieszkalne od 01.07.2021 r.</t>
  </si>
  <si>
    <t>zapadnięcie</t>
  </si>
  <si>
    <t>zaległe lokale</t>
  </si>
  <si>
    <t>brak wylewki</t>
  </si>
  <si>
    <t>awaryjnie</t>
  </si>
  <si>
    <t>IV kw</t>
  </si>
  <si>
    <t>ustalenie przyczyn dysproporcji w kosztach C.W.</t>
  </si>
  <si>
    <t>dn.08.03.2022</t>
  </si>
  <si>
    <t>FUNDUSZE REMONTOWE NIERUCHOMOŚCI - wykonanie po 12-tu miesiącach</t>
  </si>
  <si>
    <t>PA1A,SZ3,W10C</t>
  </si>
  <si>
    <t>W14A</t>
  </si>
  <si>
    <t>prace remontowe w siedzibie administracji</t>
  </si>
  <si>
    <t>Naprawa przeciekającego stropu wewnątrz pawilonu</t>
  </si>
  <si>
    <t>remonty miejscowe dachów w pawilonach usługowych</t>
  </si>
  <si>
    <t>Uchwała RN 31/2017</t>
  </si>
  <si>
    <t>Uchwała RN 56/2021</t>
  </si>
  <si>
    <t>spłata pożyczki wewnętrznej na dźwigi</t>
  </si>
  <si>
    <t>5 rata</t>
  </si>
  <si>
    <t>w5,W52</t>
  </si>
  <si>
    <t>bieżące naprawy</t>
  </si>
  <si>
    <t>w52</t>
  </si>
  <si>
    <t>naprawa ubytków w elewacji</t>
  </si>
  <si>
    <t>SZ5,W52</t>
  </si>
  <si>
    <t>osunięcie gruntu w piwnicy</t>
  </si>
  <si>
    <t>do lok. mieszk.</t>
  </si>
  <si>
    <t>naprawa elewacji,wymiana kratek wentylacyjnych</t>
  </si>
  <si>
    <t>NO3</t>
  </si>
  <si>
    <t>prace w toku</t>
  </si>
  <si>
    <t>naprawa elewacji budynku</t>
  </si>
  <si>
    <t>Naprawa szlabanu</t>
  </si>
  <si>
    <t>W59A</t>
  </si>
  <si>
    <t>PA3</t>
  </si>
  <si>
    <t>Balustrada przy wejściu</t>
  </si>
  <si>
    <t>montaz kamery</t>
  </si>
  <si>
    <t>W12</t>
  </si>
  <si>
    <t>GP-2, GP-3</t>
  </si>
  <si>
    <t>Naprawa obróbek blacharskich w halach</t>
  </si>
  <si>
    <t>dn.21.04.2022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</si>
  <si>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</si>
  <si>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</si>
  <si>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</si>
  <si>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</si>
  <si>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</si>
  <si>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</si>
  <si>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</si>
  <si>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</si>
  <si>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</si>
  <si>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BO 2021</t>
  </si>
  <si>
    <t>Odpis 2021</t>
  </si>
  <si>
    <t>Uchwała 2017</t>
  </si>
  <si>
    <t>Uchwała 2021</t>
  </si>
  <si>
    <t>Wydatki remontowe</t>
  </si>
  <si>
    <t>BZ 2021</t>
  </si>
  <si>
    <t>Razem</t>
  </si>
  <si>
    <t>odpis 2021</t>
  </si>
  <si>
    <t>Ma</t>
  </si>
  <si>
    <t>Wn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</si>
</sst>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10" fillId="33" borderId="3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4" fontId="4" fillId="0" borderId="32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4" fontId="10" fillId="0" borderId="0" xfId="0" applyNumberFormat="1" applyFont="1" applyBorder="1" applyAlignment="1" quotePrefix="1">
      <alignment horizontal="right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4" fontId="4" fillId="0" borderId="29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16" fontId="2" fillId="0" borderId="0" xfId="0" applyNumberFormat="1" applyFont="1" applyAlignment="1">
      <alignment horizontal="center"/>
    </xf>
    <xf numFmtId="0" fontId="0" fillId="0" borderId="40" xfId="0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top" wrapText="1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/>
    </xf>
    <xf numFmtId="0" fontId="10" fillId="0" borderId="3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10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/>
    </xf>
    <xf numFmtId="4" fontId="0" fillId="0" borderId="0" xfId="0" applyNumberFormat="1" applyAlignment="1">
      <alignment/>
    </xf>
    <xf numFmtId="4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 vertical="center"/>
    </xf>
    <xf numFmtId="4" fontId="4" fillId="34" borderId="32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4" fontId="4" fillId="34" borderId="20" xfId="0" applyNumberFormat="1" applyFont="1" applyFill="1" applyBorder="1" applyAlignment="1">
      <alignment horizontal="right"/>
    </xf>
    <xf numFmtId="4" fontId="10" fillId="34" borderId="30" xfId="0" applyNumberFormat="1" applyFont="1" applyFill="1" applyBorder="1" applyAlignment="1">
      <alignment horizontal="right"/>
    </xf>
    <xf numFmtId="4" fontId="10" fillId="34" borderId="21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0" fillId="0" borderId="15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9" fontId="4" fillId="0" borderId="44" xfId="0" applyNumberFormat="1" applyFont="1" applyBorder="1" applyAlignment="1">
      <alignment horizontal="center"/>
    </xf>
    <xf numFmtId="10" fontId="4" fillId="0" borderId="32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165" fontId="0" fillId="36" borderId="0" xfId="0" applyNumberFormat="1" applyFill="1" applyAlignment="1">
      <alignment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0" fillId="37" borderId="0" xfId="0" applyFont="1" applyFill="1" applyAlignment="1">
      <alignment horizontal="center"/>
    </xf>
    <xf numFmtId="165" fontId="0" fillId="37" borderId="0" xfId="0" applyNumberFormat="1" applyFill="1" applyAlignment="1">
      <alignment/>
    </xf>
    <xf numFmtId="0" fontId="0" fillId="0" borderId="10" xfId="0" applyFont="1" applyBorder="1" applyAlignment="1">
      <alignment/>
    </xf>
    <xf numFmtId="4" fontId="0" fillId="36" borderId="10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7" borderId="10" xfId="0" applyNumberFormat="1" applyFill="1" applyBorder="1" applyAlignment="1">
      <alignment/>
    </xf>
    <xf numFmtId="165" fontId="0" fillId="36" borderId="10" xfId="42" applyFont="1" applyFill="1" applyBorder="1" applyAlignment="1">
      <alignment/>
    </xf>
    <xf numFmtId="165" fontId="0" fillId="36" borderId="10" xfId="0" applyNumberFormat="1" applyFill="1" applyBorder="1" applyAlignment="1">
      <alignment/>
    </xf>
    <xf numFmtId="165" fontId="0" fillId="4" borderId="10" xfId="42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4" fontId="14" fillId="36" borderId="10" xfId="0" applyNumberFormat="1" applyFont="1" applyFill="1" applyBorder="1" applyAlignment="1">
      <alignment/>
    </xf>
    <xf numFmtId="4" fontId="14" fillId="4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49" fillId="37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37" borderId="10" xfId="0" applyNumberFormat="1" applyFont="1" applyFill="1" applyBorder="1" applyAlignment="1">
      <alignment/>
    </xf>
    <xf numFmtId="165" fontId="0" fillId="0" borderId="10" xfId="42" applyFont="1" applyBorder="1" applyAlignment="1">
      <alignment/>
    </xf>
    <xf numFmtId="165" fontId="0" fillId="37" borderId="10" xfId="42" applyFont="1" applyFill="1" applyBorder="1" applyAlignment="1">
      <alignment/>
    </xf>
    <xf numFmtId="0" fontId="0" fillId="37" borderId="10" xfId="0" applyFill="1" applyBorder="1" applyAlignment="1">
      <alignment/>
    </xf>
    <xf numFmtId="165" fontId="0" fillId="38" borderId="10" xfId="42" applyFont="1" applyFill="1" applyBorder="1" applyAlignment="1">
      <alignment/>
    </xf>
    <xf numFmtId="165" fontId="3" fillId="36" borderId="10" xfId="42" applyFont="1" applyFill="1" applyBorder="1" applyAlignment="1">
      <alignment/>
    </xf>
    <xf numFmtId="0" fontId="3" fillId="4" borderId="0" xfId="0" applyFont="1" applyFill="1" applyAlignment="1">
      <alignment/>
    </xf>
    <xf numFmtId="165" fontId="3" fillId="4" borderId="10" xfId="42" applyFont="1" applyFill="1" applyBorder="1" applyAlignment="1">
      <alignment/>
    </xf>
    <xf numFmtId="165" fontId="0" fillId="37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10" fillId="33" borderId="45" xfId="0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10" fontId="4" fillId="33" borderId="10" xfId="0" applyNumberFormat="1" applyFont="1" applyFill="1" applyBorder="1" applyAlignment="1">
      <alignment horizontal="center" wrapText="1"/>
    </xf>
    <xf numFmtId="10" fontId="0" fillId="33" borderId="10" xfId="0" applyNumberFormat="1" applyFill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4" fillId="33" borderId="35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10" fontId="4" fillId="33" borderId="21" xfId="0" applyNumberFormat="1" applyFont="1" applyFill="1" applyBorder="1" applyAlignment="1">
      <alignment horizontal="center" wrapText="1"/>
    </xf>
    <xf numFmtId="10" fontId="0" fillId="33" borderId="21" xfId="0" applyNumberFormat="1" applyFill="1" applyBorder="1" applyAlignment="1">
      <alignment wrapText="1"/>
    </xf>
    <xf numFmtId="0" fontId="4" fillId="33" borderId="2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10" fontId="4" fillId="33" borderId="20" xfId="0" applyNumberFormat="1" applyFont="1" applyFill="1" applyBorder="1" applyAlignment="1">
      <alignment horizontal="center" wrapText="1"/>
    </xf>
    <xf numFmtId="10" fontId="0" fillId="33" borderId="20" xfId="0" applyNumberFormat="1" applyFill="1" applyBorder="1" applyAlignment="1">
      <alignment wrapText="1"/>
    </xf>
    <xf numFmtId="0" fontId="4" fillId="33" borderId="27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4" fillId="33" borderId="45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wrapText="1"/>
    </xf>
    <xf numFmtId="0" fontId="4" fillId="33" borderId="56" xfId="0" applyFont="1" applyFill="1" applyBorder="1" applyAlignment="1">
      <alignment horizontal="center" wrapText="1"/>
    </xf>
    <xf numFmtId="0" fontId="0" fillId="33" borderId="56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3" borderId="57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4" fillId="35" borderId="15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0" fillId="36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">
      <selection activeCell="G12" sqref="G12:G1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10.2812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2" max="12" width="12.00390625" style="0" bestFit="1" customWidth="1"/>
    <col min="13" max="13" width="9.421875" style="0" bestFit="1" customWidth="1"/>
  </cols>
  <sheetData>
    <row r="1" spans="1:10" s="10" customFormat="1" ht="11.25">
      <c r="A1" s="10" t="s">
        <v>5</v>
      </c>
      <c r="F1" s="6"/>
      <c r="G1" s="6"/>
      <c r="J1" s="10" t="s">
        <v>244</v>
      </c>
    </row>
    <row r="2" spans="6:8" s="10" customFormat="1" ht="11.25">
      <c r="F2" s="6"/>
      <c r="G2" s="6"/>
      <c r="H2" s="91" t="s">
        <v>129</v>
      </c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8" ht="15.75" thickBot="1">
      <c r="A5" s="7"/>
      <c r="B5" s="7"/>
      <c r="C5" s="7"/>
      <c r="D5" s="7"/>
      <c r="E5" s="7"/>
      <c r="F5" s="8"/>
      <c r="H5" s="10" t="s">
        <v>149</v>
      </c>
    </row>
    <row r="6" spans="1:11" ht="12.75" customHeight="1">
      <c r="A6" s="363" t="s">
        <v>9</v>
      </c>
      <c r="B6" s="347" t="s">
        <v>62</v>
      </c>
      <c r="C6" s="347" t="s">
        <v>63</v>
      </c>
      <c r="D6" s="347" t="s">
        <v>10</v>
      </c>
      <c r="E6" s="347" t="s">
        <v>11</v>
      </c>
      <c r="F6" s="347" t="s">
        <v>121</v>
      </c>
      <c r="G6" s="347" t="s">
        <v>12</v>
      </c>
      <c r="H6" s="347" t="s">
        <v>126</v>
      </c>
      <c r="I6" s="347"/>
      <c r="J6" s="358" t="s">
        <v>2</v>
      </c>
      <c r="K6" s="354"/>
    </row>
    <row r="7" spans="1:11" ht="13.5" thickBot="1">
      <c r="A7" s="364"/>
      <c r="B7" s="348"/>
      <c r="C7" s="348"/>
      <c r="D7" s="348"/>
      <c r="E7" s="348"/>
      <c r="F7" s="348"/>
      <c r="G7" s="348"/>
      <c r="H7" s="348"/>
      <c r="I7" s="348"/>
      <c r="J7" s="359"/>
      <c r="K7" s="360"/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1" customHeight="1" thickBot="1">
      <c r="A9" s="349" t="s">
        <v>55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329" t="s">
        <v>116</v>
      </c>
      <c r="B11" s="330"/>
      <c r="C11" s="330"/>
      <c r="D11" s="330"/>
      <c r="E11" s="330"/>
      <c r="F11" s="44">
        <f>(SFR!F11+'N01'!F11+'N02'!F11+'N03'!F11+'N04'!F11+'N06'!F11+'N07'!F11+'N08'!F11+'N09'!F11+'N18'!F11+'GARAŻE N01'!F11+'GARAŻE N02'!F11+'GARAŻE N04'!F11+'GARAŻE N06'!F11+'DŹWIGI N01'!F11+'DŹWIGI N03'!F11+'DŹWIGI N04'!F11+'DŹWIGI N06'!F11+'DŹWIGI N07'!F11+'DŹWIGI N18'!F11)</f>
        <v>-390000</v>
      </c>
      <c r="G11" s="44">
        <f>(SFR!G11+'N01'!G11+'N02'!G11+'N03'!G11+'N04'!G11+'N06'!G11+'N07'!G11+'N08'!G11+'N09'!G11+'N18'!G11+'GARAŻE N01'!G11+'GARAŻE N02'!G11+'GARAŻE N04'!G11+'GARAŻE N06'!G11+'DŹWIGI N01'!G11+'DŹWIGI N03'!G11+'DŹWIGI N04'!G11+'DŹWIGI N06'!G11+'DŹWIGI N07'!G11+'DŹWIGI N18'!G11)</f>
        <v>-255996.66999999998</v>
      </c>
      <c r="H11" s="352" t="s">
        <v>207</v>
      </c>
      <c r="I11" s="353"/>
      <c r="J11" s="353"/>
      <c r="K11" s="354"/>
    </row>
    <row r="12" spans="1:11" s="14" customFormat="1" ht="13.5" customHeight="1">
      <c r="A12" s="339" t="s">
        <v>117</v>
      </c>
      <c r="B12" s="340"/>
      <c r="C12" s="340"/>
      <c r="D12" s="340"/>
      <c r="E12" s="340"/>
      <c r="F12" s="41">
        <f>(SFR!F13+'N01'!F12+'N02'!F12+'N03'!F12+'N04'!F12+'N06'!F12+'N07'!F12+'N08'!F12+'N09'!F12+'N18'!F12+'GARAŻE N01'!F12+'GARAŻE N02'!F12+'GARAŻE N04'!F12+'GARAŻE N06'!F12)</f>
        <v>2676587.26</v>
      </c>
      <c r="G12" s="222">
        <f>(SFR!G13+'N01'!G12+'N02'!G12+'N03'!G12+'N04'!G12+'N06'!G12+'N07'!G12+'N08'!G12+'N09'!G12+'N18'!G12+'GARAŻE N01'!G12+'GARAŻE N02'!G12+'GARAŻE N04'!G12+'GARAŻE N06'!G12)</f>
        <v>2940227.71</v>
      </c>
      <c r="H12" s="355"/>
      <c r="I12" s="356"/>
      <c r="J12" s="356"/>
      <c r="K12" s="357"/>
    </row>
    <row r="13" spans="1:11" s="40" customFormat="1" ht="12.75" customHeight="1">
      <c r="A13" s="341" t="s">
        <v>114</v>
      </c>
      <c r="B13" s="342"/>
      <c r="C13" s="342"/>
      <c r="D13" s="342"/>
      <c r="E13" s="342"/>
      <c r="F13" s="41">
        <f>('DŹWIGI N01'!F12+'DŹWIGI N03'!F12+'DŹWIGI N04'!F12+'DŹWIGI N06'!F12+'DŹWIGI N07'!F12+'DŹWIGI N18'!F12)</f>
        <v>274125</v>
      </c>
      <c r="G13" s="41">
        <f>('DŹWIGI N01'!G12+'DŹWIGI N03'!G12+'DŹWIGI N04'!G12+'DŹWIGI N06'!G12+'DŹWIGI N07'!G12+'DŹWIGI N18'!G12)</f>
        <v>-4.547473508864641E-12</v>
      </c>
      <c r="H13" s="343"/>
      <c r="I13" s="344"/>
      <c r="J13" s="344"/>
      <c r="K13" s="53"/>
    </row>
    <row r="14" spans="1:11" s="40" customFormat="1" ht="12.75" customHeight="1">
      <c r="A14" s="341" t="s">
        <v>115</v>
      </c>
      <c r="B14" s="342"/>
      <c r="C14" s="342"/>
      <c r="D14" s="342"/>
      <c r="E14" s="342"/>
      <c r="F14" s="41">
        <f>(SFR!F14+'N01'!F14+'N02'!F14+'N03'!F14+'N04'!F14+'N06'!F14+'N07'!F14+'N08'!F14+'N09'!F14+'N18'!F14+'GARAŻE N01'!F14+'GARAŻE N02'!F14+'GARAŻE N04'!F14+'GARAŻE N06'!F14+'DŹWIGI N01'!F14+'DŹWIGI N03'!F14+'DŹWIGI N04'!F14+'DŹWIGI N06'!F14+'DŹWIGI N07'!F14+'DŹWIGI N18'!F14)</f>
        <v>0</v>
      </c>
      <c r="G14" s="41">
        <f>(SFR!G14+'N01'!G14+'N02'!G14+'N03'!G14+'N04'!G14+'N06'!G14+'N07'!G14+'N08'!G14+'N09'!G14+'N18'!G14+'GARAŻE N01'!G14+'GARAŻE N02'!G14+'GARAŻE N04'!G14+'GARAŻE N06'!G14+'DŹWIGI N01'!G14+'DŹWIGI N03'!G14+'DŹWIGI N04'!G14+'DŹWIGI N06'!G14+'DŹWIGI N07'!G14+'DŹWIGI N18'!G14)</f>
        <v>1.0186340659856796E-10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118</v>
      </c>
      <c r="B15" s="340"/>
      <c r="C15" s="340"/>
      <c r="D15" s="340"/>
      <c r="E15" s="340"/>
      <c r="F15" s="41">
        <f>(SFR!F15+'N01'!F15+'N02'!F15+'N03'!F15+'N04'!F15+'N06'!F15+'N07'!F15+'N08'!F15+'N09'!F15+'N18'!F15+'GARAŻE N01'!F15+'GARAŻE N02'!F15+'GARAŻE N04'!F15+'GARAŻE N06'!F15+'DŹWIGI N01'!F15+'DŹWIGI N03'!F15+'DŹWIGI N04'!F15+'DŹWIGI N06'!F15+'DŹWIGI N07'!F15+'DŹWIGI N18'!F15)</f>
        <v>0</v>
      </c>
      <c r="G15" s="41">
        <f>(SFR!G15+'N01'!G15+'N02'!G15+'N03'!G15+'N04'!G15+'N06'!G15+'N07'!G15+'N08'!G15+'N09'!G15+'N18'!G15+'GARAŻE N01'!G15+'GARAŻE N02'!G15+'GARAŻE N04'!G15+'GARAŻE N06'!G15+'DŹWIGI N01'!G15+'DŹWIGI N03'!G15+'DŹWIGI N04'!G15+'DŹWIGI N06'!G15+'DŹWIGI N07'!G15+'DŹWIGI N18'!G15)</f>
        <v>911595.5899999997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35</v>
      </c>
      <c r="B16" s="334"/>
      <c r="C16" s="334"/>
      <c r="D16" s="334"/>
      <c r="E16" s="334"/>
      <c r="F16" s="45">
        <f>F11+F12+F13+F14+F15</f>
        <v>2560712.26</v>
      </c>
      <c r="G16" s="45">
        <f>G11+G12+G13+G14+G15</f>
        <v>3595826.63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8"/>
      <c r="H17" s="59"/>
      <c r="I17" s="62"/>
      <c r="J17" s="62"/>
      <c r="K17" s="60"/>
    </row>
    <row r="18" spans="1:11" ht="12.75">
      <c r="A18" s="66" t="s">
        <v>28</v>
      </c>
      <c r="B18" s="113" t="s">
        <v>103</v>
      </c>
      <c r="C18" s="112" t="s">
        <v>104</v>
      </c>
      <c r="D18" s="68"/>
      <c r="E18" s="67"/>
      <c r="F18" s="44">
        <f>SFR!F36</f>
        <v>200000</v>
      </c>
      <c r="G18" s="44">
        <f>SFR!G36</f>
        <v>141131.02</v>
      </c>
      <c r="H18" s="226">
        <f aca="true" t="shared" si="0" ref="H18:H37">G18/F18</f>
        <v>0.7056551</v>
      </c>
      <c r="I18" s="67"/>
      <c r="J18" s="323"/>
      <c r="K18" s="324"/>
    </row>
    <row r="19" spans="1:11" ht="12.75">
      <c r="A19" s="70" t="s">
        <v>21</v>
      </c>
      <c r="B19" s="65" t="s">
        <v>61</v>
      </c>
      <c r="C19" s="51" t="s">
        <v>66</v>
      </c>
      <c r="D19" s="65"/>
      <c r="E19" s="51"/>
      <c r="F19" s="41">
        <f>'N01'!F36</f>
        <v>130000</v>
      </c>
      <c r="G19" s="41">
        <f>'N01'!G36</f>
        <v>245839.17</v>
      </c>
      <c r="H19" s="227">
        <f t="shared" si="0"/>
        <v>1.8910705384615385</v>
      </c>
      <c r="I19" s="51"/>
      <c r="J19" s="311"/>
      <c r="K19" s="312"/>
    </row>
    <row r="20" spans="1:11" ht="12.75">
      <c r="A20" s="70" t="s">
        <v>22</v>
      </c>
      <c r="B20" s="65" t="s">
        <v>61</v>
      </c>
      <c r="C20" s="51" t="s">
        <v>65</v>
      </c>
      <c r="D20" s="65"/>
      <c r="E20" s="51"/>
      <c r="F20" s="41">
        <f>'N02'!F36</f>
        <v>50000</v>
      </c>
      <c r="G20" s="41">
        <f>'N02'!G36</f>
        <v>17614.95</v>
      </c>
      <c r="H20" s="227">
        <f t="shared" si="0"/>
        <v>0.35229900000000003</v>
      </c>
      <c r="I20" s="51"/>
      <c r="J20" s="311"/>
      <c r="K20" s="312"/>
    </row>
    <row r="21" spans="1:11" ht="12.75">
      <c r="A21" s="70" t="s">
        <v>24</v>
      </c>
      <c r="B21" s="65" t="s">
        <v>61</v>
      </c>
      <c r="C21" s="51" t="s">
        <v>17</v>
      </c>
      <c r="D21" s="65"/>
      <c r="E21" s="51"/>
      <c r="F21" s="41">
        <f>'N03'!F36</f>
        <v>81940</v>
      </c>
      <c r="G21" s="41">
        <f>'N03'!G36</f>
        <v>44556.4</v>
      </c>
      <c r="H21" s="227">
        <f t="shared" si="0"/>
        <v>0.5437686111789114</v>
      </c>
      <c r="I21" s="51"/>
      <c r="J21" s="311"/>
      <c r="K21" s="312"/>
    </row>
    <row r="22" spans="1:11" ht="12.75">
      <c r="A22" s="70" t="s">
        <v>23</v>
      </c>
      <c r="B22" s="65" t="s">
        <v>61</v>
      </c>
      <c r="C22" s="51" t="s">
        <v>64</v>
      </c>
      <c r="D22" s="65"/>
      <c r="E22" s="51"/>
      <c r="F22" s="41">
        <f>'N04'!F36</f>
        <v>166185</v>
      </c>
      <c r="G22" s="41">
        <f>'N04'!G36</f>
        <v>206055.98000000004</v>
      </c>
      <c r="H22" s="227">
        <f t="shared" si="0"/>
        <v>1.23991924662274</v>
      </c>
      <c r="I22" s="51"/>
      <c r="J22" s="311"/>
      <c r="K22" s="312"/>
    </row>
    <row r="23" spans="1:11" ht="12.75">
      <c r="A23" s="70" t="s">
        <v>56</v>
      </c>
      <c r="B23" s="65" t="s">
        <v>61</v>
      </c>
      <c r="C23" s="51" t="s">
        <v>70</v>
      </c>
      <c r="D23" s="65"/>
      <c r="E23" s="51"/>
      <c r="F23" s="41">
        <f>'N06'!F36</f>
        <v>230940</v>
      </c>
      <c r="G23" s="41">
        <f>'N06'!G36</f>
        <v>276452.72</v>
      </c>
      <c r="H23" s="227">
        <f t="shared" si="0"/>
        <v>1.1970759504633237</v>
      </c>
      <c r="I23" s="51"/>
      <c r="J23" s="311"/>
      <c r="K23" s="312"/>
    </row>
    <row r="24" spans="1:11" ht="12.75">
      <c r="A24" s="70" t="s">
        <v>57</v>
      </c>
      <c r="B24" s="65" t="s">
        <v>61</v>
      </c>
      <c r="C24" s="51" t="s">
        <v>20</v>
      </c>
      <c r="D24" s="65"/>
      <c r="E24" s="51"/>
      <c r="F24" s="41">
        <f>'N07'!F36</f>
        <v>50000</v>
      </c>
      <c r="G24" s="41">
        <f>'N07'!G36</f>
        <v>51763.42</v>
      </c>
      <c r="H24" s="227">
        <f t="shared" si="0"/>
        <v>1.0352683999999999</v>
      </c>
      <c r="I24" s="51"/>
      <c r="J24" s="311"/>
      <c r="K24" s="312"/>
    </row>
    <row r="25" spans="1:11" ht="12.75">
      <c r="A25" s="70" t="s">
        <v>30</v>
      </c>
      <c r="B25" s="65" t="s">
        <v>61</v>
      </c>
      <c r="C25" s="22" t="s">
        <v>67</v>
      </c>
      <c r="D25" s="65"/>
      <c r="E25" s="51"/>
      <c r="F25" s="41">
        <f>'N08'!F36</f>
        <v>75000</v>
      </c>
      <c r="G25" s="41">
        <f>'N08'!G36</f>
        <v>64233.43</v>
      </c>
      <c r="H25" s="227">
        <f t="shared" si="0"/>
        <v>0.8564457333333333</v>
      </c>
      <c r="I25" s="51"/>
      <c r="J25" s="311"/>
      <c r="K25" s="312"/>
    </row>
    <row r="26" spans="1:11" ht="12.75">
      <c r="A26" s="70" t="s">
        <v>58</v>
      </c>
      <c r="B26" s="65" t="s">
        <v>61</v>
      </c>
      <c r="C26" s="22" t="s">
        <v>68</v>
      </c>
      <c r="D26" s="65"/>
      <c r="E26" s="51"/>
      <c r="F26" s="41">
        <f>'N09'!F36</f>
        <v>40000</v>
      </c>
      <c r="G26" s="41">
        <f>'N09'!G36</f>
        <v>9846.99</v>
      </c>
      <c r="H26" s="227">
        <f t="shared" si="0"/>
        <v>0.24617475</v>
      </c>
      <c r="I26" s="51"/>
      <c r="J26" s="311"/>
      <c r="K26" s="312"/>
    </row>
    <row r="27" spans="1:11" ht="12.75">
      <c r="A27" s="70" t="s">
        <v>31</v>
      </c>
      <c r="B27" s="114" t="s">
        <v>61</v>
      </c>
      <c r="C27" s="51" t="s">
        <v>18</v>
      </c>
      <c r="D27" s="65"/>
      <c r="E27" s="51"/>
      <c r="F27" s="41">
        <f>'N18'!F36</f>
        <v>50000</v>
      </c>
      <c r="G27" s="41">
        <f>'N18'!G36</f>
        <v>97764.22</v>
      </c>
      <c r="H27" s="227">
        <f t="shared" si="0"/>
        <v>1.9552844</v>
      </c>
      <c r="I27" s="51"/>
      <c r="J27" s="311"/>
      <c r="K27" s="312"/>
    </row>
    <row r="28" spans="1:11" ht="12.75">
      <c r="A28" s="70" t="s">
        <v>21</v>
      </c>
      <c r="B28" s="65" t="s">
        <v>59</v>
      </c>
      <c r="C28" s="51" t="s">
        <v>107</v>
      </c>
      <c r="D28" s="65"/>
      <c r="E28" s="51"/>
      <c r="F28" s="41">
        <f>'GARAŻE N01'!F36</f>
        <v>5000</v>
      </c>
      <c r="G28" s="41">
        <f>'GARAŻE N01'!G36</f>
        <v>20</v>
      </c>
      <c r="H28" s="227">
        <f t="shared" si="0"/>
        <v>0.004</v>
      </c>
      <c r="I28" s="51"/>
      <c r="J28" s="311"/>
      <c r="K28" s="312"/>
    </row>
    <row r="29" spans="1:11" ht="12.75">
      <c r="A29" s="70" t="s">
        <v>22</v>
      </c>
      <c r="B29" s="65" t="s">
        <v>59</v>
      </c>
      <c r="C29" s="51" t="s">
        <v>71</v>
      </c>
      <c r="D29" s="65"/>
      <c r="E29" s="51"/>
      <c r="F29" s="41">
        <f>'GARAŻE N02'!F36</f>
        <v>5000</v>
      </c>
      <c r="G29" s="41">
        <f>'GARAŻE N02'!G36</f>
        <v>0</v>
      </c>
      <c r="H29" s="227">
        <f t="shared" si="0"/>
        <v>0</v>
      </c>
      <c r="I29" s="51"/>
      <c r="J29" s="311"/>
      <c r="K29" s="312"/>
    </row>
    <row r="30" spans="1:11" ht="12.75">
      <c r="A30" s="70" t="s">
        <v>23</v>
      </c>
      <c r="B30" s="65" t="s">
        <v>59</v>
      </c>
      <c r="C30" s="51" t="s">
        <v>108</v>
      </c>
      <c r="D30" s="65"/>
      <c r="E30" s="51"/>
      <c r="F30" s="41">
        <f>'GARAŻE N04'!F36</f>
        <v>5000</v>
      </c>
      <c r="G30" s="41">
        <f>'GARAŻE N04'!G36</f>
        <v>20</v>
      </c>
      <c r="H30" s="227">
        <f t="shared" si="0"/>
        <v>0.004</v>
      </c>
      <c r="I30" s="51"/>
      <c r="J30" s="311"/>
      <c r="K30" s="312"/>
    </row>
    <row r="31" spans="1:12" ht="12.75">
      <c r="A31" s="70" t="s">
        <v>56</v>
      </c>
      <c r="B31" s="65" t="s">
        <v>59</v>
      </c>
      <c r="C31" s="51" t="s">
        <v>70</v>
      </c>
      <c r="D31" s="65"/>
      <c r="E31" s="51"/>
      <c r="F31" s="41">
        <f>'GARAŻE N06'!F36</f>
        <v>10000</v>
      </c>
      <c r="G31" s="41">
        <f>'GARAŻE N06'!G36</f>
        <v>26709.04</v>
      </c>
      <c r="H31" s="227">
        <f t="shared" si="0"/>
        <v>2.670904</v>
      </c>
      <c r="I31" s="51"/>
      <c r="J31" s="311"/>
      <c r="K31" s="312"/>
      <c r="L31" s="183"/>
    </row>
    <row r="32" spans="1:11" ht="12.75">
      <c r="A32" s="70" t="s">
        <v>21</v>
      </c>
      <c r="B32" s="65" t="s">
        <v>60</v>
      </c>
      <c r="C32" s="51" t="s">
        <v>69</v>
      </c>
      <c r="D32" s="65"/>
      <c r="E32" s="51"/>
      <c r="F32" s="41">
        <f>'DŹWIGI N01'!F36</f>
        <v>100000</v>
      </c>
      <c r="G32" s="41">
        <f>'DŹWIGI N01'!G36</f>
        <v>0</v>
      </c>
      <c r="H32" s="227">
        <f t="shared" si="0"/>
        <v>0</v>
      </c>
      <c r="I32" s="51"/>
      <c r="J32" s="311"/>
      <c r="K32" s="312"/>
    </row>
    <row r="33" spans="1:11" ht="12.75">
      <c r="A33" s="70" t="s">
        <v>24</v>
      </c>
      <c r="B33" s="65" t="s">
        <v>60</v>
      </c>
      <c r="C33" s="51" t="s">
        <v>17</v>
      </c>
      <c r="D33" s="65"/>
      <c r="E33" s="51"/>
      <c r="F33" s="41">
        <f>'DŹWIGI N03'!F36</f>
        <v>50000</v>
      </c>
      <c r="G33" s="41">
        <f>'DŹWIGI N03'!G36</f>
        <v>0</v>
      </c>
      <c r="H33" s="227">
        <f t="shared" si="0"/>
        <v>0</v>
      </c>
      <c r="I33" s="51"/>
      <c r="J33" s="311"/>
      <c r="K33" s="312"/>
    </row>
    <row r="34" spans="1:11" ht="12.75">
      <c r="A34" s="70" t="s">
        <v>23</v>
      </c>
      <c r="B34" s="65" t="s">
        <v>60</v>
      </c>
      <c r="C34" s="51" t="s">
        <v>29</v>
      </c>
      <c r="D34" s="65"/>
      <c r="E34" s="51"/>
      <c r="F34" s="41">
        <f>'DŹWIGI N04'!F36</f>
        <v>50000</v>
      </c>
      <c r="G34" s="41">
        <f>'DŹWIGI N04'!G36</f>
        <v>0</v>
      </c>
      <c r="H34" s="227">
        <f t="shared" si="0"/>
        <v>0</v>
      </c>
      <c r="I34" s="51"/>
      <c r="J34" s="311"/>
      <c r="K34" s="312"/>
    </row>
    <row r="35" spans="1:11" ht="12.75">
      <c r="A35" s="70" t="s">
        <v>56</v>
      </c>
      <c r="B35" s="65" t="s">
        <v>60</v>
      </c>
      <c r="C35" s="51" t="s">
        <v>70</v>
      </c>
      <c r="D35" s="65"/>
      <c r="E35" s="51"/>
      <c r="F35" s="41">
        <f>'DŹWIGI N06'!F36</f>
        <v>25000</v>
      </c>
      <c r="G35" s="41">
        <f>'DŹWIGI N06'!G36</f>
        <v>0</v>
      </c>
      <c r="H35" s="227">
        <f t="shared" si="0"/>
        <v>0</v>
      </c>
      <c r="I35" s="51"/>
      <c r="J35" s="311"/>
      <c r="K35" s="312"/>
    </row>
    <row r="36" spans="1:11" ht="12.75">
      <c r="A36" s="123" t="s">
        <v>57</v>
      </c>
      <c r="B36" s="116" t="s">
        <v>60</v>
      </c>
      <c r="C36" s="52" t="s">
        <v>20</v>
      </c>
      <c r="D36" s="116"/>
      <c r="E36" s="52"/>
      <c r="F36" s="109">
        <f>'DŹWIGI N07'!F36</f>
        <v>50000</v>
      </c>
      <c r="G36" s="109">
        <f>'DŹWIGI N07'!G36</f>
        <v>0</v>
      </c>
      <c r="H36" s="227">
        <f t="shared" si="0"/>
        <v>0</v>
      </c>
      <c r="I36" s="52"/>
      <c r="J36" s="315"/>
      <c r="K36" s="316"/>
    </row>
    <row r="37" spans="1:11" ht="13.5" thickBot="1">
      <c r="A37" s="71" t="s">
        <v>31</v>
      </c>
      <c r="B37" s="73" t="s">
        <v>60</v>
      </c>
      <c r="C37" s="72" t="s">
        <v>18</v>
      </c>
      <c r="D37" s="73"/>
      <c r="E37" s="72"/>
      <c r="F37" s="45">
        <f>'DŹWIGI N18'!F36</f>
        <v>50000</v>
      </c>
      <c r="G37" s="45">
        <f>'DŹWIGI N18'!G36</f>
        <v>0</v>
      </c>
      <c r="H37" s="228">
        <f t="shared" si="0"/>
        <v>0</v>
      </c>
      <c r="I37" s="72"/>
      <c r="J37" s="313"/>
      <c r="K37" s="314"/>
    </row>
    <row r="38" spans="1:11" ht="13.5" thickBot="1">
      <c r="A38" s="75"/>
      <c r="B38" s="76"/>
      <c r="C38" s="43"/>
      <c r="D38" s="77"/>
      <c r="E38" s="21"/>
      <c r="F38" s="74"/>
      <c r="G38" s="36"/>
      <c r="H38" s="21"/>
      <c r="I38" s="21"/>
      <c r="J38" s="77"/>
      <c r="K38" s="47"/>
    </row>
    <row r="39" spans="1:11" s="14" customFormat="1" ht="13.5" customHeight="1">
      <c r="A39" s="329" t="s">
        <v>34</v>
      </c>
      <c r="B39" s="330"/>
      <c r="C39" s="330"/>
      <c r="D39" s="330"/>
      <c r="E39" s="330"/>
      <c r="F39" s="44">
        <f>(SFR!F36+'N01'!F36+'N02'!F36+'N03'!F36+'N04'!F36+'N06'!F36+'N07'!F36+'N08'!F36+'N09'!F36+'N18'!F36+'GARAŻE N01'!F36+'GARAŻE N02'!F36+'GARAŻE N04'!F36+'GARAŻE N06'!F36+'DŹWIGI N01'!F36+'DŹWIGI N03'!F36+'DŹWIGI N04'!F36+'DŹWIGI N06'!F36+'DŹWIGI N07'!F36+'DŹWIGI N18'!F36)</f>
        <v>1424065</v>
      </c>
      <c r="G39" s="44">
        <f>(SFR!G36+'N01'!G36+'N02'!G36+'N03'!G36+'N04'!G36+'N06'!G36+'N07'!G36+'N08'!G36+'N09'!G36+'N18'!G36+'GARAŻE N01'!G36+'GARAŻE N02'!G36+'GARAŻE N04'!G36+'GARAŻE N06'!G36+'DŹWIGI N01'!G36+'DŹWIGI N03'!G36+'DŹWIGI N04'!G36+'DŹWIGI N06'!G36+'DŹWIGI N07'!G36+'DŹWIGI N18'!G36)</f>
        <v>1182007.34</v>
      </c>
      <c r="H39" s="331">
        <f>G39/F39</f>
        <v>0.8300234469634462</v>
      </c>
      <c r="I39" s="332"/>
      <c r="J39" s="332"/>
      <c r="K39" s="90"/>
    </row>
    <row r="40" spans="1:11" s="14" customFormat="1" ht="13.5" customHeight="1">
      <c r="A40" s="108"/>
      <c r="B40" s="317" t="s">
        <v>4</v>
      </c>
      <c r="C40" s="318"/>
      <c r="D40" s="319"/>
      <c r="E40" s="320"/>
      <c r="F40" s="136">
        <f>(SFR!F37+'N01'!F37+'N02'!F37+'N03'!F37+'N04'!F37+'N06'!F37+'N07'!F37+'N08'!F37+'N09'!F37+'N18'!F37+'GARAŻE N01'!F37+'GARAŻE N02'!F37+'GARAŻE N04'!F37+'GARAŻE N06'!F37+'DŹWIGI N01'!F37+'DŹWIGI N03'!F37+'DŹWIGI N04'!F37+'DŹWIGI N06'!F37+'DŹWIGI N07'!F37+'DŹWIGI N18'!F37)</f>
        <v>475000</v>
      </c>
      <c r="G40" s="136">
        <f>(SFR!G37+'N01'!G37+'N02'!G37+'N03'!G37+'N04'!G37+'N06'!G37+'N07'!G37+'N08'!G37+'N09'!G37+'N18'!G37+'GARAŻE N01'!G37+'GARAŻE N02'!G37+'GARAŻE N04'!G37+'GARAŻE N06'!G37+'DŹWIGI N01'!G37+'DŹWIGI N03'!G37+'DŹWIGI N04'!G37+'DŹWIGI N06'!G37+'DŹWIGI N07'!G37+'DŹWIGI N18'!G37)</f>
        <v>0</v>
      </c>
      <c r="H40" s="321">
        <f>G40/F40</f>
        <v>0</v>
      </c>
      <c r="I40" s="322"/>
      <c r="J40" s="322"/>
      <c r="K40" s="55"/>
    </row>
    <row r="41" spans="1:11" s="14" customFormat="1" ht="13.5" customHeight="1">
      <c r="A41" s="108"/>
      <c r="B41" s="337" t="s">
        <v>3</v>
      </c>
      <c r="C41" s="337"/>
      <c r="D41" s="338"/>
      <c r="E41" s="338"/>
      <c r="F41" s="42">
        <f>F39-F40</f>
        <v>949065</v>
      </c>
      <c r="G41" s="42">
        <f>G39-G40</f>
        <v>1182007.34</v>
      </c>
      <c r="H41" s="321">
        <f>G41/F41</f>
        <v>1.2454440317575721</v>
      </c>
      <c r="I41" s="322"/>
      <c r="J41" s="322"/>
      <c r="K41" s="35"/>
    </row>
    <row r="42" spans="1:11" s="14" customFormat="1" ht="13.5" customHeight="1" thickBot="1">
      <c r="A42" s="325" t="s">
        <v>119</v>
      </c>
      <c r="B42" s="326"/>
      <c r="C42" s="326"/>
      <c r="D42" s="326"/>
      <c r="E42" s="326"/>
      <c r="F42" s="46">
        <f>F16-F39</f>
        <v>1136647.2599999998</v>
      </c>
      <c r="G42" s="46">
        <f>G16-G39</f>
        <v>2413819.29</v>
      </c>
      <c r="H42" s="327">
        <f>G42/F42</f>
        <v>2.123630940701868</v>
      </c>
      <c r="I42" s="328"/>
      <c r="J42" s="328"/>
      <c r="K42" s="54"/>
    </row>
    <row r="43" ht="12.75">
      <c r="K43" s="137"/>
    </row>
    <row r="44" spans="3:11" ht="12.75">
      <c r="C44" t="s">
        <v>79</v>
      </c>
      <c r="H44" s="183"/>
      <c r="K44" s="137" t="s">
        <v>81</v>
      </c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52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9:K9"/>
    <mergeCell ref="A11:E11"/>
    <mergeCell ref="A12:E12"/>
    <mergeCell ref="H11:K12"/>
    <mergeCell ref="J6:K7"/>
    <mergeCell ref="A15:E15"/>
    <mergeCell ref="A13:E13"/>
    <mergeCell ref="H13:J13"/>
    <mergeCell ref="A14:E14"/>
    <mergeCell ref="H15:K15"/>
    <mergeCell ref="H14:K14"/>
    <mergeCell ref="A42:E42"/>
    <mergeCell ref="H42:J42"/>
    <mergeCell ref="A39:E39"/>
    <mergeCell ref="H39:J39"/>
    <mergeCell ref="A16:E16"/>
    <mergeCell ref="H16:J16"/>
    <mergeCell ref="H41:J41"/>
    <mergeCell ref="B41:E41"/>
    <mergeCell ref="J20:K20"/>
    <mergeCell ref="J27:K27"/>
    <mergeCell ref="B40:E40"/>
    <mergeCell ref="H40:J40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34:K34"/>
    <mergeCell ref="J35:K35"/>
    <mergeCell ref="J29:K29"/>
    <mergeCell ref="J37:K37"/>
    <mergeCell ref="J30:K30"/>
    <mergeCell ref="J31:K31"/>
    <mergeCell ref="J32:K32"/>
    <mergeCell ref="J33:K33"/>
    <mergeCell ref="J36:K36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H15" sqref="H15:K1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48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3673.8</v>
      </c>
      <c r="E10" s="18" t="s">
        <v>6</v>
      </c>
      <c r="F10" s="19"/>
      <c r="G10" s="126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60000</v>
      </c>
      <c r="G11" s="44">
        <v>55877.49</v>
      </c>
      <c r="H11" s="375"/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70536.96</v>
      </c>
      <c r="G12" s="222">
        <f>33008.4+38523.96</f>
        <v>71532.36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77" t="s">
        <v>36</v>
      </c>
      <c r="B14" s="378"/>
      <c r="C14" s="378"/>
      <c r="D14" s="378"/>
      <c r="E14" s="378"/>
      <c r="F14" s="41">
        <v>0</v>
      </c>
      <c r="G14" s="41">
        <f>10236.53+11953.08</f>
        <v>22189.61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f>14623.61+17075.83</f>
        <v>31699.440000000002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130536.96</v>
      </c>
      <c r="G16" s="45">
        <f>G11+G12+G13+G14+G15</f>
        <v>181298.90000000002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93" t="s">
        <v>58</v>
      </c>
      <c r="C18" s="84" t="s">
        <v>19</v>
      </c>
      <c r="D18" s="86"/>
      <c r="E18" s="86"/>
      <c r="F18" s="87">
        <v>40000</v>
      </c>
      <c r="G18" s="190"/>
      <c r="H18" s="68"/>
      <c r="I18" s="86"/>
      <c r="J18" s="237" t="s">
        <v>4</v>
      </c>
      <c r="K18" s="89"/>
    </row>
    <row r="19" spans="1:11" ht="12.75">
      <c r="A19" s="29">
        <v>2</v>
      </c>
      <c r="B19" s="169" t="s">
        <v>58</v>
      </c>
      <c r="C19" s="169" t="s">
        <v>154</v>
      </c>
      <c r="D19" s="91"/>
      <c r="E19" s="91"/>
      <c r="F19" s="152"/>
      <c r="G19" s="269">
        <f>491.4+1670.76</f>
        <v>2162.16</v>
      </c>
      <c r="H19" s="171"/>
      <c r="I19" s="175">
        <v>2021</v>
      </c>
      <c r="J19" s="243" t="s">
        <v>3</v>
      </c>
      <c r="K19" s="242" t="s">
        <v>209</v>
      </c>
    </row>
    <row r="20" spans="1:11" ht="12.75">
      <c r="A20" s="29">
        <v>3</v>
      </c>
      <c r="B20" s="169" t="s">
        <v>58</v>
      </c>
      <c r="C20" s="150" t="s">
        <v>213</v>
      </c>
      <c r="D20" s="147"/>
      <c r="E20" s="147"/>
      <c r="F20" s="144"/>
      <c r="G20" s="263">
        <v>831.6</v>
      </c>
      <c r="H20" s="147"/>
      <c r="I20" s="147" t="s">
        <v>204</v>
      </c>
      <c r="J20" s="147" t="s">
        <v>3</v>
      </c>
      <c r="K20" s="177"/>
    </row>
    <row r="21" spans="1:11" ht="12.75">
      <c r="A21" s="29">
        <v>4</v>
      </c>
      <c r="B21" s="169" t="s">
        <v>193</v>
      </c>
      <c r="C21" s="150" t="s">
        <v>192</v>
      </c>
      <c r="D21" s="91"/>
      <c r="E21" s="91"/>
      <c r="F21" s="160"/>
      <c r="G21" s="269">
        <v>3426.62</v>
      </c>
      <c r="H21" s="171"/>
      <c r="I21" s="91" t="s">
        <v>204</v>
      </c>
      <c r="J21" s="243" t="s">
        <v>3</v>
      </c>
      <c r="K21" s="177"/>
    </row>
    <row r="22" spans="1:11" ht="12.75">
      <c r="A22" s="29">
        <v>5</v>
      </c>
      <c r="B22" s="169" t="s">
        <v>194</v>
      </c>
      <c r="C22" s="150" t="s">
        <v>192</v>
      </c>
      <c r="D22" s="147"/>
      <c r="E22" s="147"/>
      <c r="F22" s="144"/>
      <c r="G22" s="263">
        <v>3426.61</v>
      </c>
      <c r="H22" s="147"/>
      <c r="I22" s="147" t="s">
        <v>204</v>
      </c>
      <c r="J22" s="147" t="s">
        <v>3</v>
      </c>
      <c r="K22" s="177"/>
    </row>
    <row r="23" spans="1:11" ht="12.75">
      <c r="A23" s="29">
        <v>6</v>
      </c>
      <c r="B23" s="169"/>
      <c r="C23" s="169"/>
      <c r="D23" s="147"/>
      <c r="E23" s="147"/>
      <c r="F23" s="144"/>
      <c r="G23" s="263"/>
      <c r="H23" s="147"/>
      <c r="I23" s="147"/>
      <c r="J23" s="146"/>
      <c r="K23" s="177"/>
    </row>
    <row r="24" spans="1:11" ht="12.75">
      <c r="A24" s="28">
        <v>7</v>
      </c>
      <c r="B24" s="169"/>
      <c r="C24" s="143"/>
      <c r="D24" s="151"/>
      <c r="E24" s="91"/>
      <c r="F24" s="152"/>
      <c r="G24" s="269"/>
      <c r="H24" s="147"/>
      <c r="I24" s="147"/>
      <c r="J24" s="151"/>
      <c r="K24" s="178"/>
    </row>
    <row r="25" spans="1:11" ht="12.75">
      <c r="A25" s="28">
        <v>8</v>
      </c>
      <c r="B25" s="145"/>
      <c r="C25" s="166"/>
      <c r="D25" s="146"/>
      <c r="E25" s="147"/>
      <c r="F25" s="148"/>
      <c r="G25" s="186"/>
      <c r="H25" s="147"/>
      <c r="I25" s="147"/>
      <c r="J25" s="151"/>
      <c r="K25" s="178"/>
    </row>
    <row r="26" spans="1:11" ht="12.75">
      <c r="A26" s="28">
        <v>9</v>
      </c>
      <c r="B26" s="145"/>
      <c r="C26" s="166"/>
      <c r="D26" s="146"/>
      <c r="E26" s="147"/>
      <c r="F26" s="148"/>
      <c r="G26" s="144"/>
      <c r="H26" s="147"/>
      <c r="I26" s="147"/>
      <c r="J26" s="146"/>
      <c r="K26" s="178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40000</v>
      </c>
      <c r="G36" s="44">
        <f>SUM(G18:G34)</f>
        <v>9846.99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F18</f>
        <v>40000</v>
      </c>
      <c r="G37" s="42">
        <f>G18</f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0</v>
      </c>
      <c r="G38" s="42">
        <f>G36-G37</f>
        <v>9846.99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90536.96</v>
      </c>
      <c r="G39" s="46">
        <f>G16-G36</f>
        <v>171451.91000000003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4:K14"/>
    <mergeCell ref="H15:K1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9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49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5630.5</v>
      </c>
      <c r="E10" s="18" t="s">
        <v>6</v>
      </c>
      <c r="F10" s="19"/>
      <c r="G10" s="126"/>
      <c r="H10" s="11" t="s">
        <v>8</v>
      </c>
      <c r="I10" s="12">
        <v>2.3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-90000</v>
      </c>
      <c r="G11" s="44">
        <f>-1421.09+14764.99</f>
        <v>13343.9</v>
      </c>
      <c r="H11" s="375" t="s">
        <v>202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155401.8</v>
      </c>
      <c r="G12" s="222">
        <v>171633.36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f>34008</f>
        <v>34008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v>48582.85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65401.79999999999</v>
      </c>
      <c r="G16" s="45">
        <f>G11+G12+G13+G14+G15</f>
        <v>267568.11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2">
        <v>1</v>
      </c>
      <c r="B18" s="84" t="s">
        <v>18</v>
      </c>
      <c r="C18" s="84" t="s">
        <v>19</v>
      </c>
      <c r="D18" s="86"/>
      <c r="E18" s="86"/>
      <c r="F18" s="87">
        <v>50000</v>
      </c>
      <c r="G18" s="190"/>
      <c r="H18" s="68"/>
      <c r="I18" s="86"/>
      <c r="J18" s="237" t="s">
        <v>4</v>
      </c>
      <c r="K18" s="194"/>
    </row>
    <row r="19" spans="1:11" ht="12.75">
      <c r="A19" s="23">
        <v>2</v>
      </c>
      <c r="B19" s="150" t="s">
        <v>31</v>
      </c>
      <c r="C19" s="150" t="s">
        <v>240</v>
      </c>
      <c r="D19" s="91"/>
      <c r="E19" s="91"/>
      <c r="F19" s="160"/>
      <c r="G19" s="269">
        <v>1347.28</v>
      </c>
      <c r="H19" s="171"/>
      <c r="I19" s="91" t="s">
        <v>206</v>
      </c>
      <c r="J19" s="243" t="s">
        <v>3</v>
      </c>
      <c r="K19" s="242"/>
    </row>
    <row r="20" spans="1:11" s="118" customFormat="1" ht="12.75">
      <c r="A20" s="115">
        <v>3</v>
      </c>
      <c r="B20" s="150" t="s">
        <v>31</v>
      </c>
      <c r="C20" s="150" t="s">
        <v>181</v>
      </c>
      <c r="D20" s="91"/>
      <c r="E20" s="91"/>
      <c r="F20" s="160"/>
      <c r="G20" s="269">
        <v>53269.05</v>
      </c>
      <c r="H20" s="171"/>
      <c r="I20" s="91" t="s">
        <v>205</v>
      </c>
      <c r="J20" s="243" t="s">
        <v>3</v>
      </c>
      <c r="K20" s="180" t="s">
        <v>184</v>
      </c>
    </row>
    <row r="21" spans="1:11" ht="12.75">
      <c r="A21" s="29">
        <v>4</v>
      </c>
      <c r="B21" s="169" t="s">
        <v>31</v>
      </c>
      <c r="C21" s="169" t="s">
        <v>239</v>
      </c>
      <c r="D21" s="91"/>
      <c r="E21" s="91"/>
      <c r="F21" s="160"/>
      <c r="G21" s="248">
        <v>2808</v>
      </c>
      <c r="H21" s="147"/>
      <c r="I21" s="91" t="s">
        <v>205</v>
      </c>
      <c r="J21" s="91" t="s">
        <v>3</v>
      </c>
      <c r="K21" s="177"/>
    </row>
    <row r="22" spans="1:11" ht="12.75">
      <c r="A22" s="29">
        <v>5</v>
      </c>
      <c r="B22" s="169" t="s">
        <v>31</v>
      </c>
      <c r="C22" s="166" t="s">
        <v>182</v>
      </c>
      <c r="D22" s="147"/>
      <c r="E22" s="147"/>
      <c r="F22" s="144"/>
      <c r="G22" s="250">
        <f>253.79+86.1</f>
        <v>339.89</v>
      </c>
      <c r="H22" s="91"/>
      <c r="I22" s="171">
        <v>2021</v>
      </c>
      <c r="J22" s="181" t="s">
        <v>3</v>
      </c>
      <c r="K22" s="178"/>
    </row>
    <row r="23" spans="1:11" ht="12.75">
      <c r="A23" s="29">
        <v>6</v>
      </c>
      <c r="B23" s="150" t="s">
        <v>241</v>
      </c>
      <c r="C23" s="207" t="s">
        <v>223</v>
      </c>
      <c r="D23" s="65"/>
      <c r="E23" s="51"/>
      <c r="F23" s="64"/>
      <c r="G23" s="265">
        <v>40000</v>
      </c>
      <c r="H23" s="206"/>
      <c r="I23" s="91" t="s">
        <v>212</v>
      </c>
      <c r="J23" s="213" t="s">
        <v>3</v>
      </c>
      <c r="K23" s="251" t="s">
        <v>224</v>
      </c>
    </row>
    <row r="24" spans="1:11" ht="12.75">
      <c r="A24" s="28">
        <v>7</v>
      </c>
      <c r="B24" s="167"/>
      <c r="C24" s="143"/>
      <c r="D24" s="151"/>
      <c r="E24" s="91"/>
      <c r="F24" s="152"/>
      <c r="G24" s="248"/>
      <c r="H24" s="91"/>
      <c r="I24" s="91"/>
      <c r="J24" s="151"/>
      <c r="K24" s="178"/>
    </row>
    <row r="25" spans="1:11" ht="12.75">
      <c r="A25" s="28">
        <v>8</v>
      </c>
      <c r="B25" s="145"/>
      <c r="C25" s="166"/>
      <c r="D25" s="146"/>
      <c r="E25" s="147"/>
      <c r="F25" s="148"/>
      <c r="G25" s="148"/>
      <c r="H25" s="147"/>
      <c r="I25" s="147"/>
      <c r="J25" s="151"/>
      <c r="K25" s="178"/>
    </row>
    <row r="26" spans="1:11" ht="12.75">
      <c r="A26" s="28">
        <v>9</v>
      </c>
      <c r="B26" s="145"/>
      <c r="C26" s="166"/>
      <c r="D26" s="146"/>
      <c r="E26" s="147"/>
      <c r="F26" s="148"/>
      <c r="G26" s="148"/>
      <c r="H26" s="147"/>
      <c r="I26" s="147"/>
      <c r="J26" s="146"/>
      <c r="K26" s="178"/>
    </row>
    <row r="27" spans="1:11" ht="12.75">
      <c r="A27" s="28">
        <v>10</v>
      </c>
      <c r="B27" s="145"/>
      <c r="C27" s="166"/>
      <c r="D27" s="146"/>
      <c r="E27" s="147"/>
      <c r="F27" s="148"/>
      <c r="G27" s="148"/>
      <c r="H27" s="147"/>
      <c r="I27" s="147"/>
      <c r="J27" s="146"/>
      <c r="K27" s="178"/>
    </row>
    <row r="28" spans="1:11" ht="12.75">
      <c r="A28" s="28">
        <v>11</v>
      </c>
      <c r="B28" s="50"/>
      <c r="C28" s="52"/>
      <c r="D28" s="34"/>
      <c r="E28" s="4"/>
      <c r="F28" s="63"/>
      <c r="G28" s="63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63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63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63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63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64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5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50000</v>
      </c>
      <c r="G36" s="44">
        <f>SUM(G18:G34)</f>
        <v>97764.22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F18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0</v>
      </c>
      <c r="G38" s="42">
        <f>G36-G37</f>
        <v>97764.22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15401.799999999988</v>
      </c>
      <c r="G39" s="46">
        <f>G16-G36</f>
        <v>169803.88999999998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4:K14"/>
    <mergeCell ref="H15:K1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73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38</v>
      </c>
      <c r="D10" s="17">
        <v>751.9</v>
      </c>
      <c r="E10" s="18" t="s">
        <v>6</v>
      </c>
      <c r="F10" s="19"/>
      <c r="G10" s="126"/>
      <c r="H10" s="11" t="s">
        <v>8</v>
      </c>
      <c r="I10" s="12">
        <v>1.7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16000</v>
      </c>
      <c r="G11" s="44">
        <v>-15318.58</v>
      </c>
      <c r="H11" s="371"/>
      <c r="I11" s="372"/>
      <c r="J11" s="372"/>
      <c r="K11" s="90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15338.76</v>
      </c>
      <c r="G12" s="222">
        <f>3616.62+2730.24+2160+2355.78+2308.38+336.3+664.2</f>
        <v>14171.52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v>0</v>
      </c>
      <c r="H15" s="343"/>
      <c r="I15" s="344"/>
      <c r="J15" s="344"/>
      <c r="K15" s="53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31338.760000000002</v>
      </c>
      <c r="G16" s="45">
        <f>G11+G12+G13+G14+G15</f>
        <v>-1147.0599999999995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3">
        <v>1</v>
      </c>
      <c r="B18" s="95" t="s">
        <v>21</v>
      </c>
      <c r="C18" s="84" t="s">
        <v>19</v>
      </c>
      <c r="D18" s="85"/>
      <c r="E18" s="86"/>
      <c r="F18" s="97">
        <v>5000</v>
      </c>
      <c r="G18" s="87"/>
      <c r="H18" s="85"/>
      <c r="I18" s="86"/>
      <c r="J18" s="237" t="s">
        <v>4</v>
      </c>
      <c r="K18" s="172"/>
    </row>
    <row r="19" spans="1:11" ht="12.75">
      <c r="A19" s="28">
        <v>2</v>
      </c>
      <c r="B19" s="167" t="s">
        <v>196</v>
      </c>
      <c r="C19" s="150" t="s">
        <v>195</v>
      </c>
      <c r="D19" s="151"/>
      <c r="E19" s="91"/>
      <c r="F19" s="170"/>
      <c r="G19" s="160">
        <v>20</v>
      </c>
      <c r="H19" s="151"/>
      <c r="I19" s="91" t="s">
        <v>204</v>
      </c>
      <c r="J19" s="243" t="s">
        <v>3</v>
      </c>
      <c r="K19" s="178"/>
    </row>
    <row r="20" spans="1:11" ht="12.75">
      <c r="A20" s="23">
        <v>3</v>
      </c>
      <c r="B20" s="220"/>
      <c r="C20" s="207"/>
      <c r="D20" s="25"/>
      <c r="E20" s="2"/>
      <c r="F20" s="26"/>
      <c r="G20" s="224"/>
      <c r="H20" s="215"/>
      <c r="I20" s="2"/>
      <c r="J20" s="25"/>
      <c r="K20" s="205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</v>
      </c>
      <c r="G36" s="44">
        <f>SUM(G18:G34)</f>
        <v>20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F19</f>
        <v>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5000</v>
      </c>
      <c r="G38" s="42">
        <f>G36-G37</f>
        <v>20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26338.760000000002</v>
      </c>
      <c r="G39" s="46">
        <f>G16-G36</f>
        <v>-1167.0599999999995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7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76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38</v>
      </c>
      <c r="D10" s="17">
        <v>225</v>
      </c>
      <c r="E10" s="18" t="s">
        <v>6</v>
      </c>
      <c r="F10" s="19"/>
      <c r="G10" s="126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22000</v>
      </c>
      <c r="G11" s="44">
        <v>11748.38</v>
      </c>
      <c r="H11" s="371"/>
      <c r="I11" s="372"/>
      <c r="J11" s="372"/>
      <c r="K11" s="90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4320</v>
      </c>
      <c r="G12" s="222">
        <f>2316.3+1772.61</f>
        <v>4088.91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v>0</v>
      </c>
      <c r="H15" s="343"/>
      <c r="I15" s="344"/>
      <c r="J15" s="344"/>
      <c r="K15" s="53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26320</v>
      </c>
      <c r="G16" s="45">
        <f>G11+G12+G13+G14+G15</f>
        <v>15837.289999999999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3">
        <v>1</v>
      </c>
      <c r="B18" s="95" t="s">
        <v>22</v>
      </c>
      <c r="C18" s="84" t="s">
        <v>19</v>
      </c>
      <c r="D18" s="85"/>
      <c r="E18" s="86"/>
      <c r="F18" s="97">
        <v>5000</v>
      </c>
      <c r="G18" s="87"/>
      <c r="H18" s="85"/>
      <c r="I18" s="86"/>
      <c r="J18" s="237" t="s">
        <v>4</v>
      </c>
      <c r="K18" s="89"/>
    </row>
    <row r="19" spans="1:11" ht="12.75">
      <c r="A19" s="28">
        <v>2</v>
      </c>
      <c r="B19" s="27"/>
      <c r="C19" s="22"/>
      <c r="D19" s="25"/>
      <c r="E19" s="2"/>
      <c r="F19" s="26"/>
      <c r="G19" s="3"/>
      <c r="H19" s="25"/>
      <c r="I19" s="2"/>
      <c r="J19" s="236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</v>
      </c>
      <c r="G36" s="44">
        <f>SUM(G18:G34)</f>
        <v>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F19</f>
        <v>0</v>
      </c>
      <c r="G37" s="42">
        <f>G18</f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5000</v>
      </c>
      <c r="G38" s="42">
        <f>G36-G37</f>
        <v>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21320</v>
      </c>
      <c r="G39" s="46">
        <f>G16-G36</f>
        <v>15837.289999999999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8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74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38</v>
      </c>
      <c r="D10" s="17">
        <v>196.1</v>
      </c>
      <c r="E10" s="18" t="s">
        <v>6</v>
      </c>
      <c r="F10" s="19"/>
      <c r="G10" s="126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0</v>
      </c>
      <c r="G11" s="44">
        <v>-8283.6</v>
      </c>
      <c r="H11" s="371"/>
      <c r="I11" s="372"/>
      <c r="J11" s="372"/>
      <c r="K11" s="90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5177.04</v>
      </c>
      <c r="G12" s="222">
        <v>3860.82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v>0</v>
      </c>
      <c r="H15" s="343"/>
      <c r="I15" s="344"/>
      <c r="J15" s="344"/>
      <c r="K15" s="53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5177.04</v>
      </c>
      <c r="G16" s="45">
        <f>G11+G12+G13+G14+G15</f>
        <v>-4422.780000000001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3">
        <v>1</v>
      </c>
      <c r="B18" s="95" t="s">
        <v>23</v>
      </c>
      <c r="C18" s="84" t="s">
        <v>19</v>
      </c>
      <c r="D18" s="85"/>
      <c r="E18" s="86"/>
      <c r="F18" s="97">
        <v>5000</v>
      </c>
      <c r="G18" s="87"/>
      <c r="H18" s="85"/>
      <c r="I18" s="86"/>
      <c r="J18" s="237" t="s">
        <v>4</v>
      </c>
      <c r="K18" s="89"/>
    </row>
    <row r="19" spans="1:11" ht="12.75">
      <c r="A19" s="244">
        <v>2</v>
      </c>
      <c r="B19" s="167" t="s">
        <v>23</v>
      </c>
      <c r="C19" s="150" t="s">
        <v>168</v>
      </c>
      <c r="D19" s="151"/>
      <c r="E19" s="91"/>
      <c r="F19" s="170"/>
      <c r="G19" s="269">
        <v>20</v>
      </c>
      <c r="H19" s="151"/>
      <c r="I19" s="91" t="s">
        <v>204</v>
      </c>
      <c r="J19" s="243" t="s">
        <v>3</v>
      </c>
      <c r="K19" s="24"/>
    </row>
    <row r="20" spans="1:11" ht="12.75">
      <c r="A20" s="29">
        <v>3</v>
      </c>
      <c r="B20" s="27"/>
      <c r="C20" s="22"/>
      <c r="D20" s="25"/>
      <c r="E20" s="2"/>
      <c r="F20" s="26"/>
      <c r="G20" s="3"/>
      <c r="H20" s="25"/>
      <c r="I20" s="2"/>
      <c r="J20" s="236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</v>
      </c>
      <c r="G36" s="44">
        <f>SUM(G18:G34)</f>
        <v>20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F18</f>
        <v>5000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0</v>
      </c>
      <c r="G38" s="42">
        <f>G36-G37</f>
        <v>20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177.03999999999996</v>
      </c>
      <c r="G39" s="46">
        <f>G16-G36</f>
        <v>-4442.780000000001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75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38</v>
      </c>
      <c r="D10" s="17"/>
      <c r="E10" s="18" t="s">
        <v>6</v>
      </c>
      <c r="F10" s="19"/>
      <c r="G10" s="126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-150000</v>
      </c>
      <c r="G11" s="44">
        <v>-137668.26</v>
      </c>
      <c r="H11" s="371"/>
      <c r="I11" s="372"/>
      <c r="J11" s="372"/>
      <c r="K11" s="90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4337*2</f>
        <v>8674</v>
      </c>
      <c r="G12" s="222">
        <f>1145.76+4761.24+2395.8+29708.22+4423.14+9658.44+11777.28+35689.68</f>
        <v>99559.56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v>0</v>
      </c>
      <c r="H15" s="343"/>
      <c r="I15" s="344"/>
      <c r="J15" s="344"/>
      <c r="K15" s="53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-141326</v>
      </c>
      <c r="G16" s="45">
        <f>G11+G12+G13+G14+G15</f>
        <v>-38108.70000000001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3">
        <v>1</v>
      </c>
      <c r="B18" s="140" t="s">
        <v>37</v>
      </c>
      <c r="C18" s="95" t="s">
        <v>19</v>
      </c>
      <c r="D18" s="85"/>
      <c r="E18" s="86"/>
      <c r="F18" s="97">
        <v>10000</v>
      </c>
      <c r="G18" s="87"/>
      <c r="H18" s="85"/>
      <c r="I18" s="86"/>
      <c r="J18" s="85" t="s">
        <v>4</v>
      </c>
      <c r="K18" s="99"/>
    </row>
    <row r="19" spans="1:11" ht="12.75">
      <c r="A19" s="28">
        <v>2</v>
      </c>
      <c r="B19" s="167" t="s">
        <v>171</v>
      </c>
      <c r="C19" s="169" t="s">
        <v>191</v>
      </c>
      <c r="D19" s="151"/>
      <c r="E19" s="91"/>
      <c r="F19" s="170"/>
      <c r="G19" s="269">
        <f>12160.09+986.15</f>
        <v>13146.24</v>
      </c>
      <c r="H19" s="147"/>
      <c r="I19" s="91" t="s">
        <v>204</v>
      </c>
      <c r="J19" s="151" t="s">
        <v>3</v>
      </c>
      <c r="K19" s="178"/>
    </row>
    <row r="20" spans="1:11" ht="12.75">
      <c r="A20" s="29">
        <v>3</v>
      </c>
      <c r="B20" s="169" t="s">
        <v>56</v>
      </c>
      <c r="C20" s="169" t="s">
        <v>236</v>
      </c>
      <c r="D20" s="147"/>
      <c r="E20" s="147"/>
      <c r="F20" s="170"/>
      <c r="G20" s="263">
        <f>25.76+2076.12+107.05+53.87</f>
        <v>2262.8</v>
      </c>
      <c r="H20" s="147"/>
      <c r="I20" s="147" t="s">
        <v>212</v>
      </c>
      <c r="J20" s="151" t="s">
        <v>3</v>
      </c>
      <c r="K20" s="182"/>
    </row>
    <row r="21" spans="1:11" ht="12.75">
      <c r="A21" s="29">
        <v>4</v>
      </c>
      <c r="B21" s="169" t="s">
        <v>242</v>
      </c>
      <c r="C21" s="169" t="s">
        <v>243</v>
      </c>
      <c r="D21" s="147"/>
      <c r="E21" s="147"/>
      <c r="F21" s="144"/>
      <c r="G21" s="263">
        <v>11300</v>
      </c>
      <c r="H21" s="147"/>
      <c r="I21" s="147" t="s">
        <v>212</v>
      </c>
      <c r="J21" s="147" t="s">
        <v>3</v>
      </c>
      <c r="K21" s="177"/>
    </row>
    <row r="22" spans="1:11" ht="12.75">
      <c r="A22" s="29">
        <v>5</v>
      </c>
      <c r="B22" s="169"/>
      <c r="C22" s="169"/>
      <c r="D22" s="147"/>
      <c r="E22" s="147"/>
      <c r="F22" s="144"/>
      <c r="G22" s="186"/>
      <c r="H22" s="147"/>
      <c r="I22" s="147"/>
      <c r="J22" s="147"/>
      <c r="K22" s="177"/>
    </row>
    <row r="23" spans="1:11" ht="12.75">
      <c r="A23" s="29">
        <v>6</v>
      </c>
      <c r="B23" s="169"/>
      <c r="C23" s="169"/>
      <c r="D23" s="147"/>
      <c r="E23" s="147"/>
      <c r="F23" s="144"/>
      <c r="G23" s="144"/>
      <c r="H23" s="147"/>
      <c r="I23" s="147"/>
      <c r="J23" s="146"/>
      <c r="K23" s="177"/>
    </row>
    <row r="24" spans="1:11" ht="12.75">
      <c r="A24" s="28">
        <v>7</v>
      </c>
      <c r="B24" s="167"/>
      <c r="C24" s="143"/>
      <c r="D24" s="151"/>
      <c r="E24" s="91"/>
      <c r="F24" s="152"/>
      <c r="G24" s="160"/>
      <c r="H24" s="91"/>
      <c r="I24" s="91"/>
      <c r="J24" s="151"/>
      <c r="K24" s="178"/>
    </row>
    <row r="25" spans="1:11" ht="12.75">
      <c r="A25" s="28">
        <v>8</v>
      </c>
      <c r="B25" s="145"/>
      <c r="C25" s="166"/>
      <c r="D25" s="146"/>
      <c r="E25" s="147"/>
      <c r="F25" s="148"/>
      <c r="G25" s="144"/>
      <c r="H25" s="147"/>
      <c r="I25" s="147"/>
      <c r="J25" s="151"/>
      <c r="K25" s="178"/>
    </row>
    <row r="26" spans="1:11" ht="12.75">
      <c r="A26" s="28">
        <v>9</v>
      </c>
      <c r="B26" s="145"/>
      <c r="C26" s="166"/>
      <c r="D26" s="146"/>
      <c r="E26" s="147"/>
      <c r="F26" s="148"/>
      <c r="G26" s="144"/>
      <c r="H26" s="147"/>
      <c r="I26" s="147"/>
      <c r="J26" s="146"/>
      <c r="K26" s="178"/>
    </row>
    <row r="27" spans="1:11" ht="12.75">
      <c r="A27" s="28">
        <v>10</v>
      </c>
      <c r="B27" s="145"/>
      <c r="C27" s="166"/>
      <c r="D27" s="146"/>
      <c r="E27" s="147"/>
      <c r="F27" s="148"/>
      <c r="G27" s="144"/>
      <c r="H27" s="147"/>
      <c r="I27" s="147"/>
      <c r="J27" s="146"/>
      <c r="K27" s="178"/>
    </row>
    <row r="28" spans="1:11" ht="12.75">
      <c r="A28" s="28">
        <v>11</v>
      </c>
      <c r="B28" s="145"/>
      <c r="C28" s="166"/>
      <c r="D28" s="146"/>
      <c r="E28" s="147"/>
      <c r="F28" s="148"/>
      <c r="G28" s="144"/>
      <c r="H28" s="147"/>
      <c r="I28" s="147"/>
      <c r="J28" s="146"/>
      <c r="K28" s="178"/>
    </row>
    <row r="29" spans="1:11" ht="12.75">
      <c r="A29" s="28">
        <v>12</v>
      </c>
      <c r="B29" s="145"/>
      <c r="C29" s="166"/>
      <c r="D29" s="146"/>
      <c r="E29" s="147"/>
      <c r="F29" s="148"/>
      <c r="G29" s="144"/>
      <c r="H29" s="147"/>
      <c r="I29" s="147"/>
      <c r="J29" s="146"/>
      <c r="K29" s="178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10000</v>
      </c>
      <c r="G36" s="44">
        <f>SUM(G18:G34)</f>
        <v>26709.04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F18</f>
        <v>10000</v>
      </c>
      <c r="G37" s="42">
        <f>G18</f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0</v>
      </c>
      <c r="G38" s="42">
        <f>G36-G37</f>
        <v>26709.04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-151326</v>
      </c>
      <c r="G39" s="46">
        <f>G16-G36</f>
        <v>-64817.74000000001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K18" sqref="K18:K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50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25</v>
      </c>
      <c r="D10" s="17">
        <f>161+163</f>
        <v>324</v>
      </c>
      <c r="E10" s="18" t="s">
        <v>27</v>
      </c>
      <c r="F10" s="19"/>
      <c r="G10" s="126"/>
      <c r="H10" s="11" t="s">
        <v>8</v>
      </c>
      <c r="I10" s="122">
        <v>15.31</v>
      </c>
      <c r="J10" s="13" t="s">
        <v>122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62000</v>
      </c>
      <c r="G11" s="44">
        <f>58771.47-74453.57+15682.1</f>
        <v>0</v>
      </c>
      <c r="H11" s="375" t="s">
        <v>203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70000-526.12</f>
        <v>69473.88</v>
      </c>
      <c r="G12" s="222">
        <f>15907.09+16657.28-15907.09-16657.28</f>
        <v>0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111</v>
      </c>
      <c r="B15" s="340"/>
      <c r="C15" s="340"/>
      <c r="D15" s="340"/>
      <c r="E15" s="340"/>
      <c r="F15" s="41">
        <v>0</v>
      </c>
      <c r="G15" s="41">
        <v>0</v>
      </c>
      <c r="H15" s="345"/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131473.88</v>
      </c>
      <c r="G16" s="45">
        <f>G11+G12+G13+G14+G15</f>
        <v>0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3">
        <v>1</v>
      </c>
      <c r="B18" s="67" t="s">
        <v>125</v>
      </c>
      <c r="C18" s="95" t="s">
        <v>19</v>
      </c>
      <c r="D18" s="68"/>
      <c r="E18" s="67"/>
      <c r="F18" s="69">
        <v>20000</v>
      </c>
      <c r="G18" s="190"/>
      <c r="H18" s="86"/>
      <c r="I18" s="86"/>
      <c r="J18" s="98" t="s">
        <v>3</v>
      </c>
      <c r="K18" s="99" t="s">
        <v>231</v>
      </c>
    </row>
    <row r="19" spans="1:11" ht="14.25" customHeight="1">
      <c r="A19" s="28">
        <v>2</v>
      </c>
      <c r="B19" s="30" t="s">
        <v>125</v>
      </c>
      <c r="C19" s="52" t="s">
        <v>130</v>
      </c>
      <c r="D19" s="79"/>
      <c r="E19" s="128"/>
      <c r="F19" s="129">
        <v>80000</v>
      </c>
      <c r="G19" s="185">
        <v>0</v>
      </c>
      <c r="H19" s="4"/>
      <c r="I19" s="2"/>
      <c r="J19" s="25"/>
      <c r="K19" s="135" t="s">
        <v>231</v>
      </c>
    </row>
    <row r="20" spans="1:11" ht="12.75">
      <c r="A20" s="29">
        <v>3</v>
      </c>
      <c r="B20" s="30"/>
      <c r="C20" s="30"/>
      <c r="D20" s="4"/>
      <c r="E20" s="4"/>
      <c r="F20" s="26"/>
      <c r="G20" s="184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100000</v>
      </c>
      <c r="G36" s="44">
        <f>SUM(G18:G34)</f>
        <v>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v>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100000</v>
      </c>
      <c r="G38" s="42">
        <f>G36-G37</f>
        <v>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31473.880000000005</v>
      </c>
      <c r="G39" s="46">
        <f>G16-G36</f>
        <v>0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A12:E12"/>
    <mergeCell ref="H12:J12"/>
    <mergeCell ref="I6:I7"/>
    <mergeCell ref="J6:J7"/>
    <mergeCell ref="G6:G7"/>
    <mergeCell ref="H6:H7"/>
    <mergeCell ref="H11:K11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K18" sqref="K18:K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51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25</v>
      </c>
      <c r="D10" s="17">
        <v>163</v>
      </c>
      <c r="E10" s="18" t="s">
        <v>27</v>
      </c>
      <c r="F10" s="19"/>
      <c r="G10" s="126"/>
      <c r="H10" s="11" t="s">
        <v>8</v>
      </c>
      <c r="I10" s="122">
        <v>14.17</v>
      </c>
      <c r="J10" s="13" t="s">
        <v>122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15000</v>
      </c>
      <c r="G11" s="44">
        <f>11549.29-11549.29</f>
        <v>0</v>
      </c>
      <c r="H11" s="375" t="s">
        <v>203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v>33000</v>
      </c>
      <c r="G12" s="222">
        <f>14651.78-14651.78</f>
        <v>0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111</v>
      </c>
      <c r="B15" s="340"/>
      <c r="C15" s="340"/>
      <c r="D15" s="340"/>
      <c r="E15" s="340"/>
      <c r="F15" s="41">
        <v>0</v>
      </c>
      <c r="G15" s="41">
        <v>0</v>
      </c>
      <c r="H15" s="345"/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48000</v>
      </c>
      <c r="G16" s="45">
        <f>G11+G12+G13+G14+G15</f>
        <v>0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3">
        <v>1</v>
      </c>
      <c r="B18" s="95" t="s">
        <v>17</v>
      </c>
      <c r="C18" s="95" t="s">
        <v>19</v>
      </c>
      <c r="D18" s="68"/>
      <c r="E18" s="67"/>
      <c r="F18" s="69">
        <v>10000</v>
      </c>
      <c r="G18" s="190"/>
      <c r="H18" s="86"/>
      <c r="I18" s="86"/>
      <c r="J18" s="98" t="s">
        <v>3</v>
      </c>
      <c r="K18" s="99" t="s">
        <v>231</v>
      </c>
    </row>
    <row r="19" spans="1:11" ht="14.25" customHeight="1">
      <c r="A19" s="28">
        <v>2</v>
      </c>
      <c r="B19" s="127" t="s">
        <v>17</v>
      </c>
      <c r="C19" s="52" t="s">
        <v>130</v>
      </c>
      <c r="D19" s="79"/>
      <c r="E19" s="128"/>
      <c r="F19" s="129">
        <v>40000</v>
      </c>
      <c r="G19" s="3">
        <v>0</v>
      </c>
      <c r="H19" s="4"/>
      <c r="I19" s="2"/>
      <c r="J19" s="25"/>
      <c r="K19" s="135" t="s">
        <v>231</v>
      </c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50000</v>
      </c>
      <c r="G36" s="44">
        <f>SUM(G18:G34)</f>
        <v>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v>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50000</v>
      </c>
      <c r="G38" s="42">
        <f>G36-G37</f>
        <v>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-2000</v>
      </c>
      <c r="G39" s="46">
        <f>G16-G36</f>
        <v>0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8:E38"/>
    <mergeCell ref="H38:J38"/>
    <mergeCell ref="A39:E39"/>
    <mergeCell ref="H39:J39"/>
    <mergeCell ref="A16:E16"/>
    <mergeCell ref="H16:J16"/>
    <mergeCell ref="A36:E36"/>
    <mergeCell ref="H36:J36"/>
    <mergeCell ref="B37:E37"/>
    <mergeCell ref="H37:J37"/>
    <mergeCell ref="A15:E15"/>
    <mergeCell ref="A13:E13"/>
    <mergeCell ref="H13:J13"/>
    <mergeCell ref="A14:E14"/>
    <mergeCell ref="H14:J14"/>
    <mergeCell ref="H15:K15"/>
    <mergeCell ref="A11:E11"/>
    <mergeCell ref="A12:E12"/>
    <mergeCell ref="H12:J12"/>
    <mergeCell ref="I6:I7"/>
    <mergeCell ref="J6:J7"/>
    <mergeCell ref="G6:G7"/>
    <mergeCell ref="H6:H7"/>
    <mergeCell ref="H11:K11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K18" sqref="K18:K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52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25</v>
      </c>
      <c r="D10" s="17">
        <v>175</v>
      </c>
      <c r="E10" s="18" t="s">
        <v>27</v>
      </c>
      <c r="F10" s="19"/>
      <c r="G10" s="126"/>
      <c r="H10" s="11" t="s">
        <v>8</v>
      </c>
      <c r="I10" s="122">
        <v>17.08</v>
      </c>
      <c r="J10" s="13" t="s">
        <v>123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33000</v>
      </c>
      <c r="G11" s="44">
        <f>32371.98-32371.98</f>
        <v>0</v>
      </c>
      <c r="H11" s="375" t="s">
        <v>203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v>42000</v>
      </c>
      <c r="G12" s="222">
        <f>20000.68-20000.68</f>
        <v>0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111</v>
      </c>
      <c r="B15" s="340"/>
      <c r="C15" s="340"/>
      <c r="D15" s="340"/>
      <c r="E15" s="340"/>
      <c r="F15" s="41">
        <v>0</v>
      </c>
      <c r="G15" s="41">
        <v>0</v>
      </c>
      <c r="H15" s="345"/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75000</v>
      </c>
      <c r="G16" s="45">
        <f>G11+G12+G13+G14+G15</f>
        <v>0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3">
        <v>1</v>
      </c>
      <c r="B18" s="95" t="s">
        <v>29</v>
      </c>
      <c r="C18" s="95" t="s">
        <v>19</v>
      </c>
      <c r="D18" s="68"/>
      <c r="E18" s="67"/>
      <c r="F18" s="69">
        <v>10000</v>
      </c>
      <c r="G18" s="190"/>
      <c r="H18" s="86"/>
      <c r="I18" s="86"/>
      <c r="J18" s="98" t="s">
        <v>3</v>
      </c>
      <c r="K18" s="99" t="s">
        <v>231</v>
      </c>
    </row>
    <row r="19" spans="1:11" ht="14.25" customHeight="1">
      <c r="A19" s="28">
        <v>2</v>
      </c>
      <c r="B19" s="127" t="s">
        <v>29</v>
      </c>
      <c r="C19" s="52" t="s">
        <v>130</v>
      </c>
      <c r="D19" s="79"/>
      <c r="E19" s="128"/>
      <c r="F19" s="129">
        <v>40000</v>
      </c>
      <c r="G19" s="3">
        <v>0</v>
      </c>
      <c r="H19" s="4"/>
      <c r="I19" s="2"/>
      <c r="J19" s="25"/>
      <c r="K19" s="135" t="s">
        <v>231</v>
      </c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50000</v>
      </c>
      <c r="G36" s="44">
        <f>SUM(G18:G34)</f>
        <v>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v>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50000</v>
      </c>
      <c r="G38" s="42">
        <f>G36-G37</f>
        <v>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25000</v>
      </c>
      <c r="G39" s="46">
        <f>G16-G36</f>
        <v>0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A12:E12"/>
    <mergeCell ref="H12:J12"/>
    <mergeCell ref="I6:I7"/>
    <mergeCell ref="J6:J7"/>
    <mergeCell ref="G6:G7"/>
    <mergeCell ref="H6:H7"/>
    <mergeCell ref="H11:K11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K20" sqref="K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53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25</v>
      </c>
      <c r="D10" s="17">
        <v>255</v>
      </c>
      <c r="E10" s="18" t="s">
        <v>27</v>
      </c>
      <c r="F10" s="19"/>
      <c r="G10" s="126"/>
      <c r="H10" s="11" t="s">
        <v>8</v>
      </c>
      <c r="I10" s="122">
        <v>10.92</v>
      </c>
      <c r="J10" s="13" t="s">
        <v>122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20000</v>
      </c>
      <c r="G11" s="44">
        <f>45865.57-11370.52+40694.09-28150.55-21029.49-26009.1</f>
        <v>0</v>
      </c>
      <c r="H11" s="375" t="s">
        <v>203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v>53000</v>
      </c>
      <c r="G12" s="222">
        <f>7502.04+4864.86+3811.08+6191.64+2719.08-7502.04-4864.86-3811.08-6191.64-2719.08</f>
        <v>-4.547473508864641E-12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111</v>
      </c>
      <c r="B15" s="340"/>
      <c r="C15" s="340"/>
      <c r="D15" s="340"/>
      <c r="E15" s="340"/>
      <c r="F15" s="41">
        <v>0</v>
      </c>
      <c r="G15" s="41">
        <v>0</v>
      </c>
      <c r="H15" s="343"/>
      <c r="I15" s="344"/>
      <c r="J15" s="344"/>
      <c r="K15" s="53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73000</v>
      </c>
      <c r="G16" s="45">
        <f>G11+G12+G13+G14+G15</f>
        <v>-4.547473508864641E-12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3">
        <v>1</v>
      </c>
      <c r="B18" s="95" t="s">
        <v>37</v>
      </c>
      <c r="C18" s="95" t="s">
        <v>19</v>
      </c>
      <c r="D18" s="85"/>
      <c r="E18" s="86"/>
      <c r="F18" s="97">
        <v>25000</v>
      </c>
      <c r="G18" s="190"/>
      <c r="H18" s="85"/>
      <c r="I18" s="86"/>
      <c r="J18" s="98" t="s">
        <v>3</v>
      </c>
      <c r="K18" s="99" t="s">
        <v>231</v>
      </c>
    </row>
    <row r="19" spans="1:11" ht="12.75">
      <c r="A19" s="28">
        <v>2</v>
      </c>
      <c r="B19" s="167"/>
      <c r="C19" s="169"/>
      <c r="D19" s="151"/>
      <c r="E19" s="91"/>
      <c r="F19" s="170"/>
      <c r="G19" s="189"/>
      <c r="H19" s="147"/>
      <c r="I19" s="91"/>
      <c r="J19" s="151"/>
      <c r="K19" s="135"/>
    </row>
    <row r="20" spans="1:11" ht="12.75">
      <c r="A20" s="29">
        <v>3</v>
      </c>
      <c r="B20" s="169"/>
      <c r="C20" s="169"/>
      <c r="D20" s="147"/>
      <c r="E20" s="147"/>
      <c r="F20" s="196"/>
      <c r="G20" s="186"/>
      <c r="H20" s="147"/>
      <c r="I20" s="147"/>
      <c r="J20" s="151"/>
      <c r="K20" s="182"/>
    </row>
    <row r="21" spans="1:11" ht="12.75">
      <c r="A21" s="29">
        <v>4</v>
      </c>
      <c r="B21" s="207"/>
      <c r="C21" s="169"/>
      <c r="D21" s="25"/>
      <c r="E21" s="2"/>
      <c r="F21" s="64"/>
      <c r="G21" s="189"/>
      <c r="H21" s="147"/>
      <c r="I21" s="147"/>
      <c r="J21" s="147"/>
      <c r="K21" s="177"/>
    </row>
    <row r="22" spans="1:11" ht="12.75">
      <c r="A22" s="29">
        <v>5</v>
      </c>
      <c r="B22" s="169"/>
      <c r="C22" s="169"/>
      <c r="D22" s="147"/>
      <c r="E22" s="147"/>
      <c r="F22" s="144"/>
      <c r="G22" s="186"/>
      <c r="H22" s="147"/>
      <c r="I22" s="147"/>
      <c r="J22" s="147"/>
      <c r="K22" s="177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25000</v>
      </c>
      <c r="G36" s="44">
        <f>SUM(G18:G34)</f>
        <v>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v>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25000</v>
      </c>
      <c r="G38" s="42">
        <f>G36-G37</f>
        <v>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48000</v>
      </c>
      <c r="G39" s="46">
        <f>G16-G36</f>
        <v>-4.547473508864641E-12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99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A12:E12"/>
    <mergeCell ref="H12:J12"/>
    <mergeCell ref="I6:I7"/>
    <mergeCell ref="J6:J7"/>
    <mergeCell ref="G6:G7"/>
    <mergeCell ref="H6:H7"/>
    <mergeCell ref="H11:K11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50" zoomScaleNormal="150" zoomScalePageLayoutView="0" workbookViewId="0" topLeftCell="A2">
      <selection activeCell="G11" sqref="G1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112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102</v>
      </c>
      <c r="D10" s="17">
        <f>6756.45-64.2-63.6-2889-22.9</f>
        <v>3716.7499999999995</v>
      </c>
      <c r="E10" s="18" t="s">
        <v>6</v>
      </c>
      <c r="F10" s="19"/>
      <c r="G10" s="141">
        <f>64.2+63.6</f>
        <v>127.80000000000001</v>
      </c>
      <c r="H10" s="13" t="s">
        <v>105</v>
      </c>
      <c r="I10" s="12" t="s">
        <v>106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1200000</v>
      </c>
      <c r="G11" s="44">
        <v>1303091.81</v>
      </c>
      <c r="H11" s="352"/>
      <c r="I11" s="353"/>
      <c r="J11" s="353"/>
      <c r="K11" s="354"/>
    </row>
    <row r="12" spans="1:11" s="14" customFormat="1" ht="13.5" customHeight="1">
      <c r="A12" s="339" t="s">
        <v>33</v>
      </c>
      <c r="B12" s="340"/>
      <c r="C12" s="340"/>
      <c r="D12" s="340"/>
      <c r="E12" s="340"/>
      <c r="F12" s="41">
        <v>0</v>
      </c>
      <c r="G12" s="41">
        <v>0</v>
      </c>
      <c r="H12" s="355"/>
      <c r="I12" s="356"/>
      <c r="J12" s="356"/>
      <c r="K12" s="357"/>
    </row>
    <row r="13" spans="1:11" s="40" customFormat="1" ht="12.75" customHeight="1">
      <c r="A13" s="341" t="s">
        <v>40</v>
      </c>
      <c r="B13" s="342"/>
      <c r="C13" s="342"/>
      <c r="D13" s="342"/>
      <c r="E13" s="342"/>
      <c r="F13" s="41">
        <v>180000</v>
      </c>
      <c r="G13" s="222">
        <v>218564.45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109">
        <v>0</v>
      </c>
      <c r="G14" s="41">
        <v>-638117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78</v>
      </c>
      <c r="B15" s="340"/>
      <c r="C15" s="340"/>
      <c r="D15" s="340"/>
      <c r="E15" s="340"/>
      <c r="F15" s="41">
        <v>0</v>
      </c>
      <c r="G15" s="41">
        <v>0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109</v>
      </c>
      <c r="B16" s="334"/>
      <c r="C16" s="334"/>
      <c r="D16" s="334"/>
      <c r="E16" s="334"/>
      <c r="F16" s="45">
        <f>F11+F12+F13+F14+F15</f>
        <v>1380000</v>
      </c>
      <c r="G16" s="45">
        <f>G11+G12+G13+G14+G15</f>
        <v>883539.26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201">
        <v>1</v>
      </c>
      <c r="B18" s="235" t="s">
        <v>131</v>
      </c>
      <c r="C18" s="93" t="s">
        <v>132</v>
      </c>
      <c r="D18" s="113" t="s">
        <v>146</v>
      </c>
      <c r="E18" s="112"/>
      <c r="F18" s="142">
        <v>100000</v>
      </c>
      <c r="G18" s="270">
        <v>36300</v>
      </c>
      <c r="H18" s="113"/>
      <c r="I18" s="247" t="s">
        <v>206</v>
      </c>
      <c r="J18" s="229" t="s">
        <v>3</v>
      </c>
      <c r="K18" s="200"/>
    </row>
    <row r="19" spans="1:11" ht="12.75">
      <c r="A19" s="202">
        <v>2</v>
      </c>
      <c r="B19" s="51" t="s">
        <v>133</v>
      </c>
      <c r="C19" s="22" t="s">
        <v>134</v>
      </c>
      <c r="D19" s="65"/>
      <c r="E19" s="51"/>
      <c r="F19" s="64">
        <v>50000</v>
      </c>
      <c r="G19" s="271">
        <f>40000+1500</f>
        <v>41500</v>
      </c>
      <c r="H19" s="65"/>
      <c r="I19" s="246" t="s">
        <v>206</v>
      </c>
      <c r="J19" s="236" t="s">
        <v>3</v>
      </c>
      <c r="K19" s="176"/>
    </row>
    <row r="20" spans="1:11" ht="12.75">
      <c r="A20" s="202">
        <v>3</v>
      </c>
      <c r="B20" s="51" t="s">
        <v>80</v>
      </c>
      <c r="C20" s="22" t="s">
        <v>19</v>
      </c>
      <c r="D20" s="65"/>
      <c r="E20" s="51"/>
      <c r="F20" s="64">
        <v>50000</v>
      </c>
      <c r="G20" s="271"/>
      <c r="H20" s="65"/>
      <c r="I20" s="246"/>
      <c r="J20" s="236" t="s">
        <v>4</v>
      </c>
      <c r="K20" s="176"/>
    </row>
    <row r="21" spans="1:11" ht="12.75">
      <c r="A21" s="202">
        <v>4</v>
      </c>
      <c r="B21" s="218" t="s">
        <v>185</v>
      </c>
      <c r="C21" s="143" t="s">
        <v>219</v>
      </c>
      <c r="D21" s="171"/>
      <c r="E21" s="143"/>
      <c r="F21" s="152"/>
      <c r="G21" s="248">
        <v>19500</v>
      </c>
      <c r="H21" s="171"/>
      <c r="I21" s="171" t="s">
        <v>204</v>
      </c>
      <c r="J21" s="243" t="s">
        <v>3</v>
      </c>
      <c r="K21" s="219" t="s">
        <v>211</v>
      </c>
    </row>
    <row r="22" spans="1:11" ht="12.75">
      <c r="A22" s="202">
        <v>5</v>
      </c>
      <c r="B22" s="218" t="s">
        <v>135</v>
      </c>
      <c r="C22" s="143" t="s">
        <v>186</v>
      </c>
      <c r="D22" s="171"/>
      <c r="E22" s="143"/>
      <c r="F22" s="152"/>
      <c r="G22" s="248">
        <f>15554.61</f>
        <v>15554.61</v>
      </c>
      <c r="H22" s="171"/>
      <c r="I22" s="171" t="s">
        <v>204</v>
      </c>
      <c r="J22" s="243" t="s">
        <v>3</v>
      </c>
      <c r="K22" s="219"/>
    </row>
    <row r="23" spans="1:11" ht="12.75">
      <c r="A23" s="202">
        <v>6</v>
      </c>
      <c r="B23" s="218" t="s">
        <v>216</v>
      </c>
      <c r="C23" s="143" t="s">
        <v>220</v>
      </c>
      <c r="D23" s="171"/>
      <c r="E23" s="143"/>
      <c r="F23" s="152"/>
      <c r="G23" s="248">
        <v>19600</v>
      </c>
      <c r="H23" s="171"/>
      <c r="I23" s="171" t="s">
        <v>212</v>
      </c>
      <c r="J23" s="243" t="s">
        <v>3</v>
      </c>
      <c r="K23" s="176"/>
    </row>
    <row r="24" spans="1:11" ht="12.75">
      <c r="A24" s="202">
        <v>7</v>
      </c>
      <c r="B24" s="218" t="s">
        <v>217</v>
      </c>
      <c r="C24" s="143" t="s">
        <v>218</v>
      </c>
      <c r="D24" s="171"/>
      <c r="E24" s="143"/>
      <c r="F24" s="152"/>
      <c r="G24" s="248">
        <f>102.21+215.2+560.76+459.64+78.65+216+1092.87+35+138.83+97.34+5030.76+592.91+18.31+37.93</f>
        <v>8676.41</v>
      </c>
      <c r="H24" s="171"/>
      <c r="I24" s="171" t="s">
        <v>212</v>
      </c>
      <c r="J24" s="243" t="s">
        <v>3</v>
      </c>
      <c r="K24" s="176"/>
    </row>
    <row r="25" spans="1:11" ht="12.75">
      <c r="A25" s="202">
        <v>8</v>
      </c>
      <c r="B25" s="218"/>
      <c r="C25" s="143"/>
      <c r="D25" s="171"/>
      <c r="E25" s="143"/>
      <c r="F25" s="152"/>
      <c r="G25" s="248"/>
      <c r="H25" s="171"/>
      <c r="I25" s="171"/>
      <c r="J25" s="243"/>
      <c r="K25" s="176"/>
    </row>
    <row r="26" spans="1:11" ht="12.75">
      <c r="A26" s="202">
        <v>9</v>
      </c>
      <c r="B26" s="218"/>
      <c r="C26" s="143"/>
      <c r="D26" s="171"/>
      <c r="E26" s="143"/>
      <c r="F26" s="152"/>
      <c r="G26" s="152"/>
      <c r="H26" s="171"/>
      <c r="I26" s="171"/>
      <c r="J26" s="243"/>
      <c r="K26" s="176"/>
    </row>
    <row r="27" spans="1:11" ht="12.75">
      <c r="A27" s="202">
        <v>10</v>
      </c>
      <c r="B27" s="218"/>
      <c r="C27" s="143"/>
      <c r="D27" s="171"/>
      <c r="E27" s="143"/>
      <c r="F27" s="152"/>
      <c r="G27" s="152"/>
      <c r="H27" s="171"/>
      <c r="I27" s="171"/>
      <c r="J27" s="243"/>
      <c r="K27" s="176"/>
    </row>
    <row r="28" spans="1:11" ht="12.75">
      <c r="A28" s="202">
        <v>11</v>
      </c>
      <c r="B28" s="218"/>
      <c r="C28" s="143"/>
      <c r="D28" s="171"/>
      <c r="E28" s="143"/>
      <c r="F28" s="152"/>
      <c r="G28" s="152"/>
      <c r="H28" s="171"/>
      <c r="I28" s="171"/>
      <c r="J28" s="243"/>
      <c r="K28" s="176"/>
    </row>
    <row r="29" spans="1:11" ht="12.75">
      <c r="A29" s="202">
        <v>12</v>
      </c>
      <c r="B29" s="218"/>
      <c r="C29" s="249"/>
      <c r="D29" s="171"/>
      <c r="E29" s="143"/>
      <c r="F29" s="152"/>
      <c r="G29" s="152"/>
      <c r="H29" s="171"/>
      <c r="I29" s="143"/>
      <c r="J29" s="243"/>
      <c r="K29" s="176"/>
    </row>
    <row r="30" spans="1:11" ht="12.75">
      <c r="A30" s="202">
        <v>13</v>
      </c>
      <c r="B30" s="218"/>
      <c r="C30" s="143"/>
      <c r="D30" s="171"/>
      <c r="E30" s="143"/>
      <c r="F30" s="152"/>
      <c r="G30" s="152"/>
      <c r="H30" s="171"/>
      <c r="I30" s="143"/>
      <c r="J30" s="149"/>
      <c r="K30" s="176"/>
    </row>
    <row r="31" spans="1:11" ht="12.75">
      <c r="A31" s="202">
        <v>14</v>
      </c>
      <c r="B31" s="218"/>
      <c r="C31" s="143"/>
      <c r="D31" s="171"/>
      <c r="E31" s="143"/>
      <c r="F31" s="152"/>
      <c r="G31" s="152"/>
      <c r="H31" s="171"/>
      <c r="I31" s="143"/>
      <c r="J31" s="149"/>
      <c r="K31" s="176"/>
    </row>
    <row r="32" spans="1:11" ht="12.75">
      <c r="A32" s="202">
        <v>15</v>
      </c>
      <c r="B32" s="70"/>
      <c r="C32" s="51"/>
      <c r="D32" s="65"/>
      <c r="E32" s="51"/>
      <c r="F32" s="64"/>
      <c r="G32" s="64"/>
      <c r="H32" s="65"/>
      <c r="I32" s="51"/>
      <c r="J32" s="199"/>
      <c r="K32" s="198"/>
    </row>
    <row r="33" spans="1:11" ht="12.75">
      <c r="A33" s="202">
        <v>16</v>
      </c>
      <c r="B33" s="70"/>
      <c r="C33" s="51"/>
      <c r="D33" s="65"/>
      <c r="E33" s="51"/>
      <c r="F33" s="64"/>
      <c r="G33" s="64"/>
      <c r="H33" s="65"/>
      <c r="I33" s="51"/>
      <c r="J33" s="199"/>
      <c r="K33" s="198"/>
    </row>
    <row r="34" spans="1:11" ht="13.5" thickBot="1">
      <c r="A34" s="203">
        <v>17</v>
      </c>
      <c r="B34" s="204"/>
      <c r="C34" s="102"/>
      <c r="D34" s="110"/>
      <c r="E34" s="102"/>
      <c r="F34" s="105"/>
      <c r="G34" s="105"/>
      <c r="H34" s="110"/>
      <c r="I34" s="102"/>
      <c r="J34" s="139"/>
      <c r="K34" s="138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200000</v>
      </c>
      <c r="G36" s="44">
        <f>SUM(G18:G34)</f>
        <v>141131.02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F20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150000</v>
      </c>
      <c r="G38" s="42">
        <f>G36-G37</f>
        <v>141131.02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1180000</v>
      </c>
      <c r="G39" s="46">
        <f>G16-G36</f>
        <v>742408.24</v>
      </c>
      <c r="H39" s="335"/>
      <c r="I39" s="336"/>
      <c r="J39" s="336"/>
      <c r="K39" s="54"/>
    </row>
    <row r="40" ht="12.75">
      <c r="K40" s="137"/>
    </row>
    <row r="41" ht="12.75">
      <c r="K41" s="137" t="s">
        <v>82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</sheetData>
  <sheetProtection/>
  <mergeCells count="33">
    <mergeCell ref="A39:E39"/>
    <mergeCell ref="H39:J39"/>
    <mergeCell ref="A36:E36"/>
    <mergeCell ref="H36:J36"/>
    <mergeCell ref="B38:E38"/>
    <mergeCell ref="B37:E37"/>
    <mergeCell ref="H38:J38"/>
    <mergeCell ref="A13:E13"/>
    <mergeCell ref="H13:J13"/>
    <mergeCell ref="A15:E15"/>
    <mergeCell ref="H37:J37"/>
    <mergeCell ref="A16:E16"/>
    <mergeCell ref="H16:J16"/>
    <mergeCell ref="A14:E14"/>
    <mergeCell ref="H14:K14"/>
    <mergeCell ref="H15:K15"/>
    <mergeCell ref="A11:E11"/>
    <mergeCell ref="A12:E12"/>
    <mergeCell ref="A9:K9"/>
    <mergeCell ref="H11:K12"/>
    <mergeCell ref="G6:G7"/>
    <mergeCell ref="H6:H7"/>
    <mergeCell ref="K6:K7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K18" sqref="K18:K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54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25</v>
      </c>
      <c r="D10" s="17">
        <v>175</v>
      </c>
      <c r="E10" s="18" t="s">
        <v>27</v>
      </c>
      <c r="F10" s="19"/>
      <c r="G10" s="126"/>
      <c r="H10" s="11" t="s">
        <v>8</v>
      </c>
      <c r="I10" s="122">
        <v>14.91</v>
      </c>
      <c r="J10" s="13" t="s">
        <v>122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15000</v>
      </c>
      <c r="G11" s="44">
        <f>11806.1-11806.1</f>
        <v>0</v>
      </c>
      <c r="H11" s="375" t="s">
        <v>203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v>40000</v>
      </c>
      <c r="G12" s="222">
        <f>17713.62-17713.62</f>
        <v>0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111</v>
      </c>
      <c r="B15" s="340"/>
      <c r="C15" s="340"/>
      <c r="D15" s="340"/>
      <c r="E15" s="340"/>
      <c r="F15" s="41">
        <v>0</v>
      </c>
      <c r="G15" s="41">
        <v>0</v>
      </c>
      <c r="H15" s="345"/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55000</v>
      </c>
      <c r="G16" s="45">
        <f>G11+G12+G13+G14+G15</f>
        <v>0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3">
        <v>1</v>
      </c>
      <c r="B18" s="95" t="s">
        <v>20</v>
      </c>
      <c r="C18" s="95" t="s">
        <v>19</v>
      </c>
      <c r="D18" s="68"/>
      <c r="E18" s="67"/>
      <c r="F18" s="69">
        <v>10000</v>
      </c>
      <c r="G18" s="190"/>
      <c r="H18" s="86"/>
      <c r="I18" s="86"/>
      <c r="J18" s="98" t="s">
        <v>3</v>
      </c>
      <c r="K18" s="99" t="s">
        <v>231</v>
      </c>
    </row>
    <row r="19" spans="1:11" ht="14.25" customHeight="1">
      <c r="A19" s="28">
        <v>2</v>
      </c>
      <c r="B19" s="127" t="s">
        <v>20</v>
      </c>
      <c r="C19" s="52" t="s">
        <v>130</v>
      </c>
      <c r="D19" s="79"/>
      <c r="E19" s="128"/>
      <c r="F19" s="129">
        <v>40000</v>
      </c>
      <c r="G19" s="3">
        <v>0</v>
      </c>
      <c r="H19" s="4"/>
      <c r="I19" s="2"/>
      <c r="J19" s="25"/>
      <c r="K19" s="135" t="s">
        <v>231</v>
      </c>
    </row>
    <row r="20" spans="1:11" ht="12.75">
      <c r="A20" s="29">
        <v>3</v>
      </c>
      <c r="B20" s="169"/>
      <c r="C20" s="169"/>
      <c r="D20" s="147"/>
      <c r="E20" s="147"/>
      <c r="F20" s="170"/>
      <c r="G20" s="186"/>
      <c r="H20" s="147"/>
      <c r="I20" s="147"/>
      <c r="J20" s="151"/>
      <c r="K20" s="182"/>
    </row>
    <row r="21" spans="1:11" ht="12.75">
      <c r="A21" s="29">
        <v>4</v>
      </c>
      <c r="B21" s="169"/>
      <c r="C21" s="169"/>
      <c r="D21" s="147"/>
      <c r="E21" s="147"/>
      <c r="F21" s="144"/>
      <c r="G21" s="144"/>
      <c r="H21" s="147"/>
      <c r="I21" s="147"/>
      <c r="J21" s="147"/>
      <c r="K21" s="177"/>
    </row>
    <row r="22" spans="1:11" ht="12.75">
      <c r="A22" s="29">
        <v>5</v>
      </c>
      <c r="B22" s="169"/>
      <c r="C22" s="169"/>
      <c r="D22" s="147"/>
      <c r="E22" s="147"/>
      <c r="F22" s="144"/>
      <c r="G22" s="144"/>
      <c r="H22" s="147"/>
      <c r="I22" s="147"/>
      <c r="J22" s="147"/>
      <c r="K22" s="177"/>
    </row>
    <row r="23" spans="1:11" ht="12.75">
      <c r="A23" s="29">
        <v>6</v>
      </c>
      <c r="B23" s="169"/>
      <c r="C23" s="169"/>
      <c r="D23" s="147"/>
      <c r="E23" s="147"/>
      <c r="F23" s="144"/>
      <c r="G23" s="144"/>
      <c r="H23" s="147"/>
      <c r="I23" s="147"/>
      <c r="J23" s="146"/>
      <c r="K23" s="177"/>
    </row>
    <row r="24" spans="1:11" ht="12.75">
      <c r="A24" s="28">
        <v>7</v>
      </c>
      <c r="B24" s="167"/>
      <c r="C24" s="143"/>
      <c r="D24" s="151"/>
      <c r="E24" s="91"/>
      <c r="F24" s="152"/>
      <c r="G24" s="160"/>
      <c r="H24" s="91"/>
      <c r="I24" s="91"/>
      <c r="J24" s="151"/>
      <c r="K24" s="178"/>
    </row>
    <row r="25" spans="1:11" ht="12.75">
      <c r="A25" s="28">
        <v>8</v>
      </c>
      <c r="B25" s="145"/>
      <c r="C25" s="166"/>
      <c r="D25" s="146"/>
      <c r="E25" s="147"/>
      <c r="F25" s="148"/>
      <c r="G25" s="144"/>
      <c r="H25" s="147"/>
      <c r="I25" s="147"/>
      <c r="J25" s="151"/>
      <c r="K25" s="178"/>
    </row>
    <row r="26" spans="1:11" ht="12.75">
      <c r="A26" s="28">
        <v>9</v>
      </c>
      <c r="B26" s="145"/>
      <c r="C26" s="166"/>
      <c r="D26" s="146"/>
      <c r="E26" s="147"/>
      <c r="F26" s="148"/>
      <c r="G26" s="144"/>
      <c r="H26" s="147"/>
      <c r="I26" s="147"/>
      <c r="J26" s="146"/>
      <c r="K26" s="178"/>
    </row>
    <row r="27" spans="1:11" ht="12.75">
      <c r="A27" s="28">
        <v>10</v>
      </c>
      <c r="B27" s="145"/>
      <c r="C27" s="166"/>
      <c r="D27" s="146"/>
      <c r="E27" s="147"/>
      <c r="F27" s="148"/>
      <c r="G27" s="144"/>
      <c r="H27" s="147"/>
      <c r="I27" s="147"/>
      <c r="J27" s="146"/>
      <c r="K27" s="178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50000</v>
      </c>
      <c r="G36" s="44">
        <f>SUM(G18:G34)</f>
        <v>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v>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50000</v>
      </c>
      <c r="G38" s="42">
        <f>G36-G37</f>
        <v>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5000</v>
      </c>
      <c r="G39" s="46">
        <f>G16-G36</f>
        <v>0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A12:E12"/>
    <mergeCell ref="H12:J12"/>
    <mergeCell ref="I6:I7"/>
    <mergeCell ref="J6:J7"/>
    <mergeCell ref="G6:G7"/>
    <mergeCell ref="H6:H7"/>
    <mergeCell ref="H11:K11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O24" sqref="O2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214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72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25</v>
      </c>
      <c r="D10" s="17">
        <v>160</v>
      </c>
      <c r="E10" s="18" t="s">
        <v>27</v>
      </c>
      <c r="F10" s="19"/>
      <c r="G10" s="126"/>
      <c r="H10" s="11" t="s">
        <v>8</v>
      </c>
      <c r="I10" s="12" t="s">
        <v>124</v>
      </c>
      <c r="J10" s="13" t="s">
        <v>122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17000</v>
      </c>
      <c r="G11" s="44">
        <f>14764.99-14764.99</f>
        <v>0</v>
      </c>
      <c r="H11" s="375" t="s">
        <v>203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v>36651.12</v>
      </c>
      <c r="G12" s="222">
        <f>16231.56-16231.56</f>
        <v>0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0</v>
      </c>
      <c r="H14" s="343"/>
      <c r="I14" s="344"/>
      <c r="J14" s="344"/>
      <c r="K14" s="53"/>
    </row>
    <row r="15" spans="1:11" s="14" customFormat="1" ht="13.5" customHeight="1">
      <c r="A15" s="339" t="s">
        <v>111</v>
      </c>
      <c r="B15" s="340"/>
      <c r="C15" s="340"/>
      <c r="D15" s="340"/>
      <c r="E15" s="340"/>
      <c r="F15" s="41">
        <v>0</v>
      </c>
      <c r="G15" s="41">
        <v>0</v>
      </c>
      <c r="H15" s="345"/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53651.12</v>
      </c>
      <c r="G16" s="45">
        <f>G11+G12+G13+G14+G15</f>
        <v>0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3">
        <v>1</v>
      </c>
      <c r="B18" s="95" t="s">
        <v>18</v>
      </c>
      <c r="C18" s="95" t="s">
        <v>19</v>
      </c>
      <c r="D18" s="68"/>
      <c r="E18" s="67"/>
      <c r="F18" s="69">
        <v>10000</v>
      </c>
      <c r="G18" s="190"/>
      <c r="H18" s="86"/>
      <c r="I18" s="86"/>
      <c r="J18" s="98" t="s">
        <v>3</v>
      </c>
      <c r="K18" s="99" t="s">
        <v>231</v>
      </c>
    </row>
    <row r="19" spans="1:11" ht="14.25" customHeight="1">
      <c r="A19" s="28">
        <v>2</v>
      </c>
      <c r="B19" s="127" t="s">
        <v>18</v>
      </c>
      <c r="C19" s="52" t="s">
        <v>130</v>
      </c>
      <c r="D19" s="79"/>
      <c r="E19" s="128"/>
      <c r="F19" s="129">
        <v>40000</v>
      </c>
      <c r="G19" s="3">
        <v>0</v>
      </c>
      <c r="H19" s="4"/>
      <c r="I19" s="2"/>
      <c r="J19" s="25"/>
      <c r="K19" s="135" t="s">
        <v>231</v>
      </c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50000</v>
      </c>
      <c r="G36" s="44">
        <f>SUM(G18:G34)</f>
        <v>0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v>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50000</v>
      </c>
      <c r="G38" s="42">
        <f>G36-G37</f>
        <v>0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3651.1200000000026</v>
      </c>
      <c r="G39" s="46">
        <f>G16-G36</f>
        <v>0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101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9:K9"/>
    <mergeCell ref="A11:E11"/>
    <mergeCell ref="H11:K11"/>
    <mergeCell ref="A12:E12"/>
    <mergeCell ref="H12:J12"/>
    <mergeCell ref="A13:E13"/>
    <mergeCell ref="H13:J13"/>
    <mergeCell ref="A14:E14"/>
    <mergeCell ref="H14:J14"/>
    <mergeCell ref="A15:E15"/>
    <mergeCell ref="A16:E16"/>
    <mergeCell ref="H16:J16"/>
    <mergeCell ref="A36:E36"/>
    <mergeCell ref="H36:J36"/>
    <mergeCell ref="H15:K15"/>
    <mergeCell ref="B38:E38"/>
    <mergeCell ref="H38:J38"/>
    <mergeCell ref="A39:E39"/>
    <mergeCell ref="H39:J39"/>
    <mergeCell ref="B37:E37"/>
    <mergeCell ref="H37:J3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8" width="20.7109375" style="0" customWidth="1"/>
    <col min="9" max="9" width="13.28125" style="0" bestFit="1" customWidth="1"/>
    <col min="10" max="10" width="16.57421875" style="0" customWidth="1"/>
    <col min="11" max="11" width="13.28125" style="0" bestFit="1" customWidth="1"/>
    <col min="12" max="12" width="15.00390625" style="0" bestFit="1" customWidth="1"/>
    <col min="13" max="14" width="13.421875" style="0" bestFit="1" customWidth="1"/>
    <col min="15" max="15" width="15.00390625" style="0" bestFit="1" customWidth="1"/>
    <col min="16" max="16" width="16.7109375" style="0" customWidth="1"/>
    <col min="17" max="17" width="11.7109375" style="0" bestFit="1" customWidth="1"/>
  </cols>
  <sheetData>
    <row r="1" spans="2:14" ht="12.75"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s="278" t="s">
        <v>259</v>
      </c>
      <c r="H1" s="379" t="s">
        <v>254</v>
      </c>
      <c r="I1" s="379"/>
      <c r="J1" s="379"/>
      <c r="K1" s="379"/>
      <c r="L1" s="280" t="s">
        <v>259</v>
      </c>
      <c r="M1" s="307" t="s">
        <v>261</v>
      </c>
      <c r="N1" s="277"/>
    </row>
    <row r="2" spans="1:17" ht="12.75">
      <c r="A2" s="282" t="s">
        <v>245</v>
      </c>
      <c r="B2" s="283">
        <f>'N01'!G11+'GARAŻE N01'!G11+'DŹWIGI N01'!G11</f>
        <v>-473439.82999999996</v>
      </c>
      <c r="C2" s="284">
        <f>'N01'!G12+'GARAŻE N01'!G12</f>
        <v>627503.75</v>
      </c>
      <c r="D2" s="285">
        <f>'N01'!G14</f>
        <v>171798.41000000003</v>
      </c>
      <c r="E2" s="285">
        <f>'N01'!G15</f>
        <v>245426.24999999997</v>
      </c>
      <c r="F2" s="285">
        <f>'N01'!G36+'GARAŻE N01'!G36</f>
        <v>245859.17</v>
      </c>
      <c r="G2" s="286">
        <f>B2+C2+D2+E2-F2</f>
        <v>325429.41000000003</v>
      </c>
      <c r="H2" s="287">
        <f>-633294.8+116402.08+74453.57-15682.1</f>
        <v>-458121.25</v>
      </c>
      <c r="I2" s="305">
        <f>-22826.08+7507.5</f>
        <v>-15318.580000000002</v>
      </c>
      <c r="J2" s="306">
        <f>H2+I2</f>
        <v>-473439.83</v>
      </c>
      <c r="K2" s="288">
        <f>B2-J2</f>
        <v>0</v>
      </c>
      <c r="L2" s="309">
        <f>B2+C2+D2+E2-F2</f>
        <v>325429.41000000003</v>
      </c>
      <c r="M2" s="308">
        <f>56183.64+124808.41+147345.12+126248.12+78829.34+79917.6+3616.62+2730.24+2160+2355.78+2308.38+336.3+664.2</f>
        <v>627503.75</v>
      </c>
      <c r="N2" s="289">
        <f>M2-C2</f>
        <v>0</v>
      </c>
      <c r="O2" s="273">
        <v>-530330.8200000002</v>
      </c>
      <c r="P2" s="274">
        <f>O2+C2+D2+E2-F2</f>
        <v>268538.4199999998</v>
      </c>
      <c r="Q2" s="183">
        <f>C2+D2+E2</f>
        <v>1044728.41</v>
      </c>
    </row>
    <row r="3" spans="1:17" ht="12.75">
      <c r="A3" s="282" t="s">
        <v>246</v>
      </c>
      <c r="B3" s="283">
        <f>'N02'!G11+'GARAŻE N02'!G11</f>
        <v>-181392.13999999998</v>
      </c>
      <c r="C3" s="284">
        <f>'N02'!G12+'GARAŻE N02'!G12</f>
        <v>174604.71</v>
      </c>
      <c r="D3" s="285">
        <f>'N02'!G14</f>
        <v>53641.07</v>
      </c>
      <c r="E3" s="285">
        <f>'N02'!G15</f>
        <v>76630.09</v>
      </c>
      <c r="F3" s="285">
        <f>'N02'!G36+'GARAŻE N02'!G36</f>
        <v>17614.95</v>
      </c>
      <c r="G3" s="286">
        <f aca="true" t="shared" si="0" ref="G3:G13">B3+C3+D3+E3-F3</f>
        <v>105868.78000000001</v>
      </c>
      <c r="H3" s="287">
        <f>-274178.16+81037.64</f>
        <v>-193140.51999999996</v>
      </c>
      <c r="I3" s="287">
        <f>11748.38</f>
        <v>11748.38</v>
      </c>
      <c r="J3" s="306">
        <f aca="true" t="shared" si="1" ref="J3:J13">H3+I3</f>
        <v>-181392.13999999996</v>
      </c>
      <c r="K3" s="288">
        <f aca="true" t="shared" si="2" ref="K3:K11">B3-J3</f>
        <v>0</v>
      </c>
      <c r="L3" s="309">
        <f aca="true" t="shared" si="3" ref="L3:L13">B3+C3+D3+E3-F3</f>
        <v>105868.78000000001</v>
      </c>
      <c r="M3" s="308">
        <v>174604.71</v>
      </c>
      <c r="N3" s="289">
        <f aca="true" t="shared" si="4" ref="N3:N11">M3-C3</f>
        <v>0</v>
      </c>
      <c r="O3" s="273">
        <v>-223686.74000000005</v>
      </c>
      <c r="P3" s="274">
        <f aca="true" t="shared" si="5" ref="P3:P13">O3+C3+D3+E3-F3</f>
        <v>63574.17999999995</v>
      </c>
      <c r="Q3" s="183">
        <f aca="true" t="shared" si="6" ref="Q3:Q11">C3+D3+E3</f>
        <v>304875.87</v>
      </c>
    </row>
    <row r="4" spans="1:17" ht="12.75">
      <c r="A4" s="282" t="s">
        <v>247</v>
      </c>
      <c r="B4" s="283">
        <f>'N03'!G11+'DŹWIGI N03'!G11</f>
        <v>-20153.75</v>
      </c>
      <c r="C4" s="284">
        <f>'N03'!G12</f>
        <v>175441.82</v>
      </c>
      <c r="D4" s="285">
        <f>'N03'!G14</f>
        <v>32372.13</v>
      </c>
      <c r="E4" s="285">
        <f>'N03'!G15</f>
        <v>46245.9</v>
      </c>
      <c r="F4" s="310">
        <f>'N03'!G36</f>
        <v>44556.4</v>
      </c>
      <c r="G4" s="286">
        <f t="shared" si="0"/>
        <v>189349.7</v>
      </c>
      <c r="H4" s="287">
        <f>-31703.04+11549.29</f>
        <v>-20153.75</v>
      </c>
      <c r="I4" s="287"/>
      <c r="J4" s="306">
        <f t="shared" si="1"/>
        <v>-20153.75</v>
      </c>
      <c r="K4" s="288">
        <f t="shared" si="2"/>
        <v>0</v>
      </c>
      <c r="L4" s="309">
        <f t="shared" si="3"/>
        <v>189349.7</v>
      </c>
      <c r="M4" s="308">
        <f>175441.82</f>
        <v>175441.82</v>
      </c>
      <c r="N4" s="289">
        <f t="shared" si="4"/>
        <v>0</v>
      </c>
      <c r="O4" s="273">
        <v>-10030.629999999976</v>
      </c>
      <c r="P4" s="274">
        <f t="shared" si="5"/>
        <v>199472.82000000004</v>
      </c>
      <c r="Q4" s="183">
        <f t="shared" si="6"/>
        <v>254059.85</v>
      </c>
    </row>
    <row r="5" spans="1:17" ht="12.75">
      <c r="A5" s="282" t="s">
        <v>248</v>
      </c>
      <c r="B5" s="283">
        <f>'N04'!G11+'GARAŻE N04'!G11+'DŹWIGI N04'!G11</f>
        <v>-108315.94000000002</v>
      </c>
      <c r="C5" s="284">
        <f>'N04'!G12+'GARAŻE N04'!G12</f>
        <v>522700.06</v>
      </c>
      <c r="D5" s="285">
        <f>'N04'!G14</f>
        <v>114127.47</v>
      </c>
      <c r="E5" s="285">
        <f>'N04'!G15</f>
        <v>163039.22</v>
      </c>
      <c r="F5" s="285">
        <f>'N04'!G36+'GARAŻE N04'!G36</f>
        <v>206075.98000000004</v>
      </c>
      <c r="G5" s="286">
        <f t="shared" si="0"/>
        <v>485474.8299999999</v>
      </c>
      <c r="H5" s="287">
        <f>-386232.28+253827.96+32371.98</f>
        <v>-100032.34000000004</v>
      </c>
      <c r="I5" s="287">
        <v>-8283.6</v>
      </c>
      <c r="J5" s="306">
        <f t="shared" si="1"/>
        <v>-108315.94000000005</v>
      </c>
      <c r="K5" s="288">
        <f t="shared" si="2"/>
        <v>0</v>
      </c>
      <c r="L5" s="309">
        <f t="shared" si="3"/>
        <v>485474.8299999999</v>
      </c>
      <c r="M5" s="308">
        <f>522700.06</f>
        <v>522700.06</v>
      </c>
      <c r="N5" s="289">
        <f t="shared" si="4"/>
        <v>0</v>
      </c>
      <c r="O5" s="273">
        <v>-168567.38</v>
      </c>
      <c r="P5" s="274">
        <f t="shared" si="5"/>
        <v>425223.38999999996</v>
      </c>
      <c r="Q5" s="183">
        <f t="shared" si="6"/>
        <v>799866.75</v>
      </c>
    </row>
    <row r="6" spans="1:17" ht="12.75">
      <c r="A6" s="282" t="s">
        <v>249</v>
      </c>
      <c r="B6" s="290">
        <f>0</f>
        <v>0</v>
      </c>
      <c r="C6" s="291">
        <v>0</v>
      </c>
      <c r="D6" s="292">
        <v>0</v>
      </c>
      <c r="E6" s="292">
        <f>0</f>
        <v>0</v>
      </c>
      <c r="F6" s="292">
        <v>0</v>
      </c>
      <c r="G6" s="286">
        <f t="shared" si="0"/>
        <v>0</v>
      </c>
      <c r="H6" s="287"/>
      <c r="I6" s="287"/>
      <c r="J6" s="306">
        <f t="shared" si="1"/>
        <v>0</v>
      </c>
      <c r="K6" s="288">
        <f t="shared" si="2"/>
        <v>0</v>
      </c>
      <c r="L6" s="309">
        <f t="shared" si="3"/>
        <v>0</v>
      </c>
      <c r="M6" s="308"/>
      <c r="N6" s="289">
        <f t="shared" si="4"/>
        <v>0</v>
      </c>
      <c r="O6" s="273">
        <v>0</v>
      </c>
      <c r="P6" s="274">
        <f t="shared" si="5"/>
        <v>0</v>
      </c>
      <c r="Q6" s="183">
        <f t="shared" si="6"/>
        <v>0</v>
      </c>
    </row>
    <row r="7" spans="1:17" ht="12.75">
      <c r="A7" s="282" t="s">
        <v>250</v>
      </c>
      <c r="B7" s="283">
        <f>'N06'!G11+'GARAŻE N06'!G11+'DŹWIGI N06'!G11</f>
        <v>-536754.8700000001</v>
      </c>
      <c r="C7" s="284">
        <f>'N06'!G12+'GARAŻE N06'!G12</f>
        <v>539477.3400000001</v>
      </c>
      <c r="D7" s="285">
        <f>'N06'!G14</f>
        <v>92815.96</v>
      </c>
      <c r="E7" s="285">
        <f>'N06'!G15</f>
        <v>132594.2</v>
      </c>
      <c r="F7" s="285">
        <f>'N06'!G36+'GARAŻE N06'!G36</f>
        <v>303161.75999999995</v>
      </c>
      <c r="G7" s="286">
        <f t="shared" si="0"/>
        <v>-75029.12999999995</v>
      </c>
      <c r="H7" s="287">
        <f>-476398.71+31446+0.53-40694.09+86559.66</f>
        <v>-399086.61</v>
      </c>
      <c r="I7" s="287">
        <f>-146269.37+8601.11</f>
        <v>-137668.26</v>
      </c>
      <c r="J7" s="306">
        <f t="shared" si="1"/>
        <v>-536754.87</v>
      </c>
      <c r="K7" s="288">
        <f t="shared" si="2"/>
        <v>0</v>
      </c>
      <c r="L7" s="309">
        <f t="shared" si="3"/>
        <v>-75029.12999999995</v>
      </c>
      <c r="M7" s="308">
        <f>539477.34</f>
        <v>539477.34</v>
      </c>
      <c r="N7" s="289">
        <f t="shared" si="4"/>
        <v>0</v>
      </c>
      <c r="O7" s="273">
        <v>-572579.04</v>
      </c>
      <c r="P7" s="274">
        <f t="shared" si="5"/>
        <v>-110853.29999999987</v>
      </c>
      <c r="Q7" s="183">
        <f t="shared" si="6"/>
        <v>764887.5</v>
      </c>
    </row>
    <row r="8" spans="1:17" ht="12.75">
      <c r="A8" s="282" t="s">
        <v>251</v>
      </c>
      <c r="B8" s="283">
        <f>'N07'!G11+'DŹWIGI N07'!G11</f>
        <v>-124349.70999999999</v>
      </c>
      <c r="C8" s="284">
        <f>'N07'!G12</f>
        <v>177434.82</v>
      </c>
      <c r="D8" s="285">
        <f>'N07'!G14</f>
        <v>34953.25</v>
      </c>
      <c r="E8" s="285">
        <f>'N07'!G15</f>
        <v>49933.21</v>
      </c>
      <c r="F8" s="285">
        <f>'N07'!G36</f>
        <v>51763.42</v>
      </c>
      <c r="G8" s="286">
        <f t="shared" si="0"/>
        <v>86208.15000000001</v>
      </c>
      <c r="H8" s="287">
        <f>-136155.81+11806.1</f>
        <v>-124349.70999999999</v>
      </c>
      <c r="I8" s="287"/>
      <c r="J8" s="306">
        <f t="shared" si="1"/>
        <v>-124349.70999999999</v>
      </c>
      <c r="K8" s="288">
        <f t="shared" si="2"/>
        <v>0</v>
      </c>
      <c r="L8" s="309">
        <f t="shared" si="3"/>
        <v>86208.15000000001</v>
      </c>
      <c r="M8" s="308">
        <f>177434.82</f>
        <v>177434.82</v>
      </c>
      <c r="N8" s="289">
        <f t="shared" si="4"/>
        <v>0</v>
      </c>
      <c r="O8" s="273">
        <v>-116608.77000000002</v>
      </c>
      <c r="P8" s="274">
        <f t="shared" si="5"/>
        <v>93949.08999999998</v>
      </c>
      <c r="Q8" s="183">
        <f t="shared" si="6"/>
        <v>262321.28</v>
      </c>
    </row>
    <row r="9" spans="1:17" ht="12.75">
      <c r="A9" s="282" t="s">
        <v>252</v>
      </c>
      <c r="B9" s="283">
        <f>'N08'!G11</f>
        <v>-183903.63</v>
      </c>
      <c r="C9" s="284">
        <f>'N08'!G12</f>
        <v>261335.03999999998</v>
      </c>
      <c r="D9" s="285">
        <f>'N08'!G14</f>
        <v>82211.1</v>
      </c>
      <c r="E9" s="285">
        <f>'N08'!G15</f>
        <v>117444.43</v>
      </c>
      <c r="F9" s="285">
        <f>'N08'!G36</f>
        <v>64233.43</v>
      </c>
      <c r="G9" s="286">
        <f t="shared" si="0"/>
        <v>212853.50999999995</v>
      </c>
      <c r="H9" s="305">
        <f>-240218.81+56315.18</f>
        <v>-183903.63</v>
      </c>
      <c r="I9" s="287"/>
      <c r="J9" s="306">
        <f t="shared" si="1"/>
        <v>-183903.63</v>
      </c>
      <c r="K9" s="288">
        <f t="shared" si="2"/>
        <v>0</v>
      </c>
      <c r="L9" s="309">
        <f t="shared" si="3"/>
        <v>212853.50999999995</v>
      </c>
      <c r="M9" s="308">
        <f>261335.04</f>
        <v>261335.04</v>
      </c>
      <c r="N9" s="289">
        <f t="shared" si="4"/>
        <v>0</v>
      </c>
      <c r="O9" s="273">
        <v>-259777.87999999995</v>
      </c>
      <c r="P9" s="274">
        <f t="shared" si="5"/>
        <v>136979.26000000004</v>
      </c>
      <c r="Q9" s="183">
        <f t="shared" si="6"/>
        <v>460990.57</v>
      </c>
    </row>
    <row r="10" spans="1:17" ht="12.75">
      <c r="A10" s="282" t="s">
        <v>253</v>
      </c>
      <c r="B10" s="283">
        <f>'N09'!G11</f>
        <v>55877.49</v>
      </c>
      <c r="C10" s="284">
        <f>'N09'!G12</f>
        <v>71532.36</v>
      </c>
      <c r="D10" s="285">
        <f>'N09'!G14</f>
        <v>22189.61</v>
      </c>
      <c r="E10" s="285">
        <f>'N09'!G15</f>
        <v>31699.440000000002</v>
      </c>
      <c r="F10" s="285">
        <f>'N09'!G36</f>
        <v>9846.99</v>
      </c>
      <c r="G10" s="286">
        <f t="shared" si="0"/>
        <v>171451.91000000003</v>
      </c>
      <c r="H10" s="287">
        <f>55877.49</f>
        <v>55877.49</v>
      </c>
      <c r="I10" s="287"/>
      <c r="J10" s="306">
        <f t="shared" si="1"/>
        <v>55877.49</v>
      </c>
      <c r="K10" s="288">
        <f t="shared" si="2"/>
        <v>0</v>
      </c>
      <c r="L10" s="309">
        <f t="shared" si="3"/>
        <v>171451.91000000003</v>
      </c>
      <c r="M10" s="308">
        <f>71532.36</f>
        <v>71532.36</v>
      </c>
      <c r="N10" s="289">
        <f t="shared" si="4"/>
        <v>0</v>
      </c>
      <c r="O10" s="273">
        <v>35394.99</v>
      </c>
      <c r="P10" s="274">
        <f t="shared" si="5"/>
        <v>150969.41000000003</v>
      </c>
      <c r="Q10" s="183">
        <f t="shared" si="6"/>
        <v>125421.41</v>
      </c>
    </row>
    <row r="11" spans="1:17" ht="12.75">
      <c r="A11" s="282" t="s">
        <v>31</v>
      </c>
      <c r="B11" s="283">
        <f>'N18'!G11+'DŹWIGI N18'!G11</f>
        <v>13343.9</v>
      </c>
      <c r="C11" s="284">
        <f>'N18'!G12</f>
        <v>171633.36</v>
      </c>
      <c r="D11" s="285">
        <f>'N18'!G14</f>
        <v>34008</v>
      </c>
      <c r="E11" s="285">
        <f>'N18'!G15</f>
        <v>48582.85</v>
      </c>
      <c r="F11" s="285">
        <f>'N18'!G36</f>
        <v>97764.22</v>
      </c>
      <c r="G11" s="286">
        <f t="shared" si="0"/>
        <v>169803.88999999998</v>
      </c>
      <c r="H11" s="287">
        <f>-1421.09+14764.99</f>
        <v>13343.9</v>
      </c>
      <c r="I11" s="287"/>
      <c r="J11" s="306">
        <f t="shared" si="1"/>
        <v>13343.9</v>
      </c>
      <c r="K11" s="288">
        <f t="shared" si="2"/>
        <v>0</v>
      </c>
      <c r="L11" s="309">
        <f t="shared" si="3"/>
        <v>169803.88999999998</v>
      </c>
      <c r="M11" s="308">
        <f>171633.36</f>
        <v>171633.36</v>
      </c>
      <c r="N11" s="289">
        <f t="shared" si="4"/>
        <v>0</v>
      </c>
      <c r="O11" s="273">
        <v>21957.24000000002</v>
      </c>
      <c r="P11" s="274">
        <f t="shared" si="5"/>
        <v>178417.23</v>
      </c>
      <c r="Q11" s="183">
        <f t="shared" si="6"/>
        <v>254224.21</v>
      </c>
    </row>
    <row r="12" spans="1:16" ht="12.75">
      <c r="A12" s="292"/>
      <c r="B12" s="293">
        <f aca="true" t="shared" si="7" ref="B12:G12">SUM(B2:B11)</f>
        <v>-1559088.4800000002</v>
      </c>
      <c r="C12" s="294">
        <f t="shared" si="7"/>
        <v>2721663.26</v>
      </c>
      <c r="D12" s="295">
        <f t="shared" si="7"/>
        <v>638117.0000000001</v>
      </c>
      <c r="E12" s="295">
        <f t="shared" si="7"/>
        <v>911595.5899999997</v>
      </c>
      <c r="F12" s="295">
        <f t="shared" si="7"/>
        <v>1040876.3200000001</v>
      </c>
      <c r="G12" s="296">
        <f t="shared" si="7"/>
        <v>1671411.05</v>
      </c>
      <c r="H12" s="293">
        <f aca="true" t="shared" si="8" ref="H12:N12">SUM(H2:H11)</f>
        <v>-1409566.4200000002</v>
      </c>
      <c r="I12" s="293">
        <f t="shared" si="8"/>
        <v>-149522.06</v>
      </c>
      <c r="J12" s="293">
        <f t="shared" si="8"/>
        <v>-1559088.4800000002</v>
      </c>
      <c r="K12" s="293">
        <f t="shared" si="8"/>
        <v>0</v>
      </c>
      <c r="L12" s="296">
        <f t="shared" si="8"/>
        <v>1671411.05</v>
      </c>
      <c r="M12" s="294">
        <f t="shared" si="8"/>
        <v>2721663.26</v>
      </c>
      <c r="N12" s="294">
        <f t="shared" si="8"/>
        <v>0</v>
      </c>
      <c r="O12" s="273">
        <f>SUM(O2:O11)</f>
        <v>-1824229.0300000003</v>
      </c>
      <c r="P12" s="273">
        <f>SUM(P2:P11)</f>
        <v>1406270.5</v>
      </c>
    </row>
    <row r="13" spans="1:16" ht="12.75">
      <c r="A13" s="292" t="s">
        <v>28</v>
      </c>
      <c r="B13" s="283">
        <f>SFR!G11</f>
        <v>1303091.81</v>
      </c>
      <c r="C13" s="284">
        <f>SFR!G13</f>
        <v>218564.45</v>
      </c>
      <c r="D13" s="285">
        <f>SFR!G14</f>
        <v>-638117</v>
      </c>
      <c r="E13" s="292"/>
      <c r="F13" s="285">
        <f>SFR!G36</f>
        <v>141131.02</v>
      </c>
      <c r="G13" s="297">
        <f t="shared" si="0"/>
        <v>742408.24</v>
      </c>
      <c r="H13" s="287">
        <f>649831.21+502990.31+150270.29</f>
        <v>1303091.81</v>
      </c>
      <c r="I13" s="287"/>
      <c r="J13" s="306">
        <f t="shared" si="1"/>
        <v>1303091.81</v>
      </c>
      <c r="K13" s="290"/>
      <c r="L13" s="309">
        <f t="shared" si="3"/>
        <v>742408.24</v>
      </c>
      <c r="M13" s="308">
        <f>218564.45</f>
        <v>218564.45</v>
      </c>
      <c r="N13" s="289"/>
      <c r="O13" s="273">
        <f>1192671.42+L37</f>
        <v>1568232.3599999999</v>
      </c>
      <c r="P13" s="274">
        <f t="shared" si="5"/>
        <v>1007548.7899999998</v>
      </c>
    </row>
    <row r="14" spans="1:16" ht="12.75">
      <c r="A14" s="292" t="s">
        <v>260</v>
      </c>
      <c r="B14" s="298">
        <f aca="true" t="shared" si="9" ref="B14:G14">B12+B13</f>
        <v>-255996.67000000016</v>
      </c>
      <c r="C14" s="299">
        <f t="shared" si="9"/>
        <v>2940227.71</v>
      </c>
      <c r="D14" s="300">
        <f t="shared" si="9"/>
        <v>0</v>
      </c>
      <c r="E14" s="300">
        <f t="shared" si="9"/>
        <v>911595.5899999997</v>
      </c>
      <c r="F14" s="300">
        <f t="shared" si="9"/>
        <v>1182007.34</v>
      </c>
      <c r="G14" s="301">
        <f t="shared" si="9"/>
        <v>2413819.29</v>
      </c>
      <c r="H14" s="298">
        <f aca="true" t="shared" si="10" ref="H14:N14">H12+H13</f>
        <v>-106474.6100000001</v>
      </c>
      <c r="I14" s="298">
        <f t="shared" si="10"/>
        <v>-149522.06</v>
      </c>
      <c r="J14" s="293">
        <f t="shared" si="10"/>
        <v>-255996.67000000016</v>
      </c>
      <c r="K14" s="298">
        <f t="shared" si="10"/>
        <v>0</v>
      </c>
      <c r="L14" s="301">
        <f t="shared" si="10"/>
        <v>2413819.29</v>
      </c>
      <c r="M14" s="294">
        <f t="shared" si="10"/>
        <v>2940227.71</v>
      </c>
      <c r="N14" s="299">
        <f t="shared" si="10"/>
        <v>0</v>
      </c>
      <c r="O14" s="273">
        <f>O12+O13</f>
        <v>-255996.6700000004</v>
      </c>
      <c r="P14" s="273">
        <f>P12+P13</f>
        <v>2413819.29</v>
      </c>
    </row>
    <row r="15" spans="1:14" ht="12.75">
      <c r="A15" s="292"/>
      <c r="B15" s="287">
        <f>-255996.67</f>
        <v>-255996.67</v>
      </c>
      <c r="C15" s="289">
        <f>2940227.71</f>
        <v>2940227.71</v>
      </c>
      <c r="D15" s="302"/>
      <c r="E15" s="302"/>
      <c r="F15" s="302">
        <v>1182007.34</v>
      </c>
      <c r="G15" s="303">
        <v>2413819.29</v>
      </c>
      <c r="H15" s="302"/>
      <c r="I15" s="302"/>
      <c r="J15" s="302"/>
      <c r="K15" s="292"/>
      <c r="L15" s="304"/>
      <c r="M15" s="292"/>
      <c r="N15" s="292"/>
    </row>
    <row r="16" spans="2:12" ht="12.75">
      <c r="B16" s="275">
        <f>B14-B15</f>
        <v>0</v>
      </c>
      <c r="C16" s="276">
        <f>C14-C15</f>
        <v>0</v>
      </c>
      <c r="F16" s="183">
        <f>F14-F15</f>
        <v>0</v>
      </c>
      <c r="G16" s="279">
        <f>G14-G15</f>
        <v>0</v>
      </c>
      <c r="H16" s="274"/>
      <c r="L16" s="281">
        <f>L14-G15</f>
        <v>0</v>
      </c>
    </row>
    <row r="18" ht="12.75">
      <c r="B18" s="183"/>
    </row>
    <row r="19" spans="11:12" ht="12.75">
      <c r="K19" t="s">
        <v>263</v>
      </c>
      <c r="L19" s="274">
        <f>L7</f>
        <v>-75029.12999999995</v>
      </c>
    </row>
    <row r="20" spans="8:12" ht="12.75">
      <c r="H20" s="274"/>
      <c r="K20" t="s">
        <v>262</v>
      </c>
      <c r="L20" s="274">
        <f>L2+L3+L4+L5+L8+L9+L10+L11+L13</f>
        <v>2488848.42</v>
      </c>
    </row>
    <row r="21" spans="9:12" ht="12.75">
      <c r="I21" s="274"/>
      <c r="K21" t="s">
        <v>262</v>
      </c>
      <c r="L21" s="274">
        <f>L20+L19</f>
        <v>2413819.29</v>
      </c>
    </row>
    <row r="27" ht="12.75">
      <c r="L27">
        <v>-530330.8200000002</v>
      </c>
    </row>
    <row r="28" ht="12.75">
      <c r="L28">
        <v>-223686.74000000005</v>
      </c>
    </row>
    <row r="29" ht="12.75">
      <c r="L29">
        <v>-10030.629999999976</v>
      </c>
    </row>
    <row r="30" ht="12.75">
      <c r="L30">
        <v>-168567.38</v>
      </c>
    </row>
    <row r="31" ht="12.75">
      <c r="L31">
        <v>0</v>
      </c>
    </row>
    <row r="32" ht="12.75">
      <c r="L32">
        <v>-572579.04</v>
      </c>
    </row>
    <row r="33" ht="12.75">
      <c r="L33">
        <v>-116608.77000000002</v>
      </c>
    </row>
    <row r="34" ht="12.75">
      <c r="L34">
        <v>-259777.87999999995</v>
      </c>
    </row>
    <row r="35" ht="12.75">
      <c r="L35">
        <v>35394.99</v>
      </c>
    </row>
    <row r="36" ht="12.75">
      <c r="L36">
        <v>21957.24000000002</v>
      </c>
    </row>
    <row r="37" ht="12.75">
      <c r="L37">
        <v>375560.94000000006</v>
      </c>
    </row>
    <row r="38" ht="12.75">
      <c r="L38">
        <v>1192671.42</v>
      </c>
    </row>
  </sheetData>
  <sheetProtection/>
  <mergeCells count="1">
    <mergeCell ref="H1:K1"/>
  </mergeCells>
  <printOptions/>
  <pageMargins left="0" right="0" top="0.984251968503937" bottom="0.984251968503937" header="0.5118110236220472" footer="0.5118110236220472"/>
  <pageSetup fitToHeight="0" fitToWidth="1" horizontalDpi="300" verticalDpi="3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50" zoomScaleNormal="150" zoomScalePageLayoutView="0" workbookViewId="0" topLeftCell="A2">
      <selection activeCell="H15" sqref="H15:K1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41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28443.63</v>
      </c>
      <c r="E10" s="18" t="s">
        <v>6</v>
      </c>
      <c r="F10" s="19"/>
      <c r="G10" s="126"/>
      <c r="H10" s="11" t="s">
        <v>8</v>
      </c>
      <c r="I10" s="12">
        <v>1.7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-450000</v>
      </c>
      <c r="G11" s="44">
        <f>-516892.72+74453.57-15682.1</f>
        <v>-458121.24999999994</v>
      </c>
      <c r="H11" s="375" t="s">
        <v>197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580250.052</v>
      </c>
      <c r="G12" s="222">
        <f>56183.64+124808.41+147345.12+126248.12+78829.34+79917.6</f>
        <v>613332.23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39</v>
      </c>
      <c r="B14" s="342"/>
      <c r="C14" s="342"/>
      <c r="D14" s="342"/>
      <c r="E14" s="342"/>
      <c r="F14" s="41">
        <v>0</v>
      </c>
      <c r="G14" s="222">
        <f>16634.66+32243.12+43519.73+32447.27+23291.9+23661.73</f>
        <v>171798.41000000003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222">
        <f>23763.78+46061.6+62171.03+46353.24+33274.14+33802.46</f>
        <v>245426.24999999997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130250.05200000003</v>
      </c>
      <c r="G16" s="45">
        <f>G11+G12+G13+G14+G15</f>
        <v>572435.64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3">
        <v>1</v>
      </c>
      <c r="B18" s="112" t="s">
        <v>135</v>
      </c>
      <c r="C18" s="112" t="s">
        <v>136</v>
      </c>
      <c r="D18" s="113"/>
      <c r="E18" s="112"/>
      <c r="F18" s="142">
        <v>80000</v>
      </c>
      <c r="G18" s="266">
        <f>85938.21</f>
        <v>85938.21</v>
      </c>
      <c r="H18" s="85"/>
      <c r="I18" s="86" t="s">
        <v>212</v>
      </c>
      <c r="J18" s="85"/>
      <c r="K18" s="134"/>
    </row>
    <row r="19" spans="1:11" ht="12.75">
      <c r="A19" s="28">
        <v>2</v>
      </c>
      <c r="B19" s="51" t="s">
        <v>21</v>
      </c>
      <c r="C19" s="22" t="s">
        <v>19</v>
      </c>
      <c r="D19" s="65"/>
      <c r="E19" s="51"/>
      <c r="F19" s="64">
        <v>50000</v>
      </c>
      <c r="G19" s="186"/>
      <c r="H19" s="211"/>
      <c r="I19" s="214"/>
      <c r="J19" s="79" t="s">
        <v>4</v>
      </c>
      <c r="K19" s="230"/>
    </row>
    <row r="20" spans="1:11" ht="12.75">
      <c r="A20" s="28">
        <v>3</v>
      </c>
      <c r="B20" s="253" t="s">
        <v>151</v>
      </c>
      <c r="C20" s="209" t="s">
        <v>150</v>
      </c>
      <c r="D20" s="254"/>
      <c r="E20" s="211"/>
      <c r="F20" s="210"/>
      <c r="G20" s="264">
        <v>23976</v>
      </c>
      <c r="H20" s="211"/>
      <c r="I20" s="211" t="s">
        <v>206</v>
      </c>
      <c r="J20" s="213" t="s">
        <v>3</v>
      </c>
      <c r="K20" s="242" t="s">
        <v>208</v>
      </c>
    </row>
    <row r="21" spans="1:11" ht="12.75">
      <c r="A21" s="28">
        <v>4</v>
      </c>
      <c r="B21" s="253" t="s">
        <v>153</v>
      </c>
      <c r="C21" s="209" t="s">
        <v>152</v>
      </c>
      <c r="D21" s="214"/>
      <c r="E21" s="214"/>
      <c r="F21" s="216"/>
      <c r="G21" s="265">
        <v>14904</v>
      </c>
      <c r="H21" s="206"/>
      <c r="I21" s="214" t="s">
        <v>206</v>
      </c>
      <c r="J21" s="255" t="s">
        <v>3</v>
      </c>
      <c r="K21" s="173"/>
    </row>
    <row r="22" spans="1:11" ht="12.75">
      <c r="A22" s="28">
        <v>5</v>
      </c>
      <c r="B22" s="253" t="s">
        <v>21</v>
      </c>
      <c r="C22" s="209" t="s">
        <v>154</v>
      </c>
      <c r="D22" s="214"/>
      <c r="E22" s="214"/>
      <c r="F22" s="216"/>
      <c r="G22" s="265">
        <f>57.23+7434.9+7403.19+253.79</f>
        <v>15149.11</v>
      </c>
      <c r="H22" s="206"/>
      <c r="I22" s="214">
        <v>2021</v>
      </c>
      <c r="J22" s="255" t="s">
        <v>3</v>
      </c>
      <c r="K22" s="242" t="s">
        <v>209</v>
      </c>
    </row>
    <row r="23" spans="1:11" ht="12.75">
      <c r="A23" s="28">
        <v>6</v>
      </c>
      <c r="B23" s="252" t="s">
        <v>155</v>
      </c>
      <c r="C23" s="209" t="s">
        <v>230</v>
      </c>
      <c r="D23" s="254"/>
      <c r="E23" s="211"/>
      <c r="F23" s="210"/>
      <c r="G23" s="264">
        <v>4644</v>
      </c>
      <c r="H23" s="206"/>
      <c r="I23" s="214" t="s">
        <v>206</v>
      </c>
      <c r="J23" s="215" t="s">
        <v>3</v>
      </c>
      <c r="K23" s="242" t="s">
        <v>210</v>
      </c>
    </row>
    <row r="24" spans="1:11" s="120" customFormat="1" ht="12.75">
      <c r="A24" s="121">
        <v>7</v>
      </c>
      <c r="B24" s="252" t="s">
        <v>225</v>
      </c>
      <c r="C24" s="207" t="s">
        <v>156</v>
      </c>
      <c r="D24" s="206"/>
      <c r="E24" s="256"/>
      <c r="F24" s="257"/>
      <c r="G24" s="264">
        <f>2264.13+3091.06</f>
        <v>5355.1900000000005</v>
      </c>
      <c r="H24" s="206"/>
      <c r="I24" s="212" t="s">
        <v>204</v>
      </c>
      <c r="J24" s="213" t="s">
        <v>3</v>
      </c>
      <c r="K24" s="117"/>
    </row>
    <row r="25" spans="1:11" s="120" customFormat="1" ht="12.75">
      <c r="A25" s="119">
        <v>8</v>
      </c>
      <c r="B25" s="252" t="s">
        <v>21</v>
      </c>
      <c r="C25" s="207" t="s">
        <v>228</v>
      </c>
      <c r="D25" s="65"/>
      <c r="E25" s="51"/>
      <c r="F25" s="64"/>
      <c r="G25" s="264">
        <f>1572.46+3047.91+4071.22+3035.4+2201.76</f>
        <v>13928.75</v>
      </c>
      <c r="H25" s="211"/>
      <c r="I25" s="214">
        <v>2021</v>
      </c>
      <c r="J25" s="213" t="s">
        <v>3</v>
      </c>
      <c r="K25" s="241"/>
    </row>
    <row r="26" spans="1:11" s="120" customFormat="1" ht="12.75">
      <c r="A26" s="119">
        <v>9</v>
      </c>
      <c r="B26" s="258" t="s">
        <v>229</v>
      </c>
      <c r="C26" s="207" t="s">
        <v>223</v>
      </c>
      <c r="D26" s="65"/>
      <c r="E26" s="51"/>
      <c r="F26" s="64"/>
      <c r="G26" s="264">
        <f>40000+40000</f>
        <v>80000</v>
      </c>
      <c r="H26" s="206"/>
      <c r="I26" s="214" t="s">
        <v>212</v>
      </c>
      <c r="J26" s="213" t="s">
        <v>3</v>
      </c>
      <c r="K26" s="251" t="s">
        <v>224</v>
      </c>
    </row>
    <row r="27" spans="1:11" s="120" customFormat="1" ht="12.75">
      <c r="A27" s="119">
        <v>10</v>
      </c>
      <c r="B27" s="258" t="s">
        <v>227</v>
      </c>
      <c r="C27" s="259" t="s">
        <v>226</v>
      </c>
      <c r="D27" s="260"/>
      <c r="E27" s="260"/>
      <c r="F27" s="257"/>
      <c r="G27" s="267">
        <f>1943.91</f>
        <v>1943.91</v>
      </c>
      <c r="H27" s="206"/>
      <c r="I27" s="214">
        <v>2021</v>
      </c>
      <c r="J27" s="213" t="s">
        <v>3</v>
      </c>
      <c r="K27" s="117"/>
    </row>
    <row r="28" spans="1:11" s="120" customFormat="1" ht="12.75">
      <c r="A28" s="119">
        <v>11</v>
      </c>
      <c r="B28" s="154"/>
      <c r="C28" s="166"/>
      <c r="D28" s="153"/>
      <c r="E28" s="153"/>
      <c r="F28" s="152"/>
      <c r="G28" s="250"/>
      <c r="H28" s="171"/>
      <c r="I28" s="147"/>
      <c r="J28" s="181"/>
      <c r="K28" s="117"/>
    </row>
    <row r="29" spans="1:11" s="120" customFormat="1" ht="12.75">
      <c r="A29" s="119">
        <v>12</v>
      </c>
      <c r="B29" s="154"/>
      <c r="C29" s="166"/>
      <c r="D29" s="153"/>
      <c r="E29" s="153"/>
      <c r="F29" s="152"/>
      <c r="G29" s="187"/>
      <c r="H29" s="171"/>
      <c r="I29" s="91"/>
      <c r="J29" s="181"/>
      <c r="K29" s="117"/>
    </row>
    <row r="30" spans="1:11" s="120" customFormat="1" ht="12.75">
      <c r="A30" s="119">
        <v>13</v>
      </c>
      <c r="B30" s="154"/>
      <c r="C30" s="166"/>
      <c r="D30" s="153"/>
      <c r="E30" s="153"/>
      <c r="F30" s="152"/>
      <c r="G30" s="187"/>
      <c r="H30" s="65"/>
      <c r="I30" s="114"/>
      <c r="J30" s="79"/>
      <c r="K30" s="117"/>
    </row>
    <row r="31" spans="1:11" s="120" customFormat="1" ht="12.75">
      <c r="A31" s="119">
        <v>14</v>
      </c>
      <c r="B31" s="154"/>
      <c r="C31" s="166"/>
      <c r="D31" s="153"/>
      <c r="E31" s="153"/>
      <c r="F31" s="152"/>
      <c r="G31" s="187"/>
      <c r="H31" s="65"/>
      <c r="I31" s="114"/>
      <c r="J31" s="79"/>
      <c r="K31" s="117"/>
    </row>
    <row r="32" spans="1:11" s="120" customFormat="1" ht="12.75">
      <c r="A32" s="119">
        <v>15</v>
      </c>
      <c r="B32" s="154"/>
      <c r="C32" s="166"/>
      <c r="D32" s="153"/>
      <c r="E32" s="153"/>
      <c r="F32" s="152"/>
      <c r="G32" s="187"/>
      <c r="H32" s="65"/>
      <c r="I32" s="114"/>
      <c r="J32" s="79"/>
      <c r="K32" s="117"/>
    </row>
    <row r="33" spans="1:11" ht="12.75">
      <c r="A33" s="28">
        <v>16</v>
      </c>
      <c r="B33" s="154"/>
      <c r="C33" s="166"/>
      <c r="D33" s="153"/>
      <c r="E33" s="153"/>
      <c r="F33" s="152"/>
      <c r="G33" s="187"/>
      <c r="H33" s="65"/>
      <c r="I33" s="128"/>
      <c r="J33" s="114"/>
      <c r="K33" s="117"/>
    </row>
    <row r="34" spans="1:11" ht="13.5" thickBot="1">
      <c r="A34" s="100">
        <v>17</v>
      </c>
      <c r="B34" s="155"/>
      <c r="C34" s="156"/>
      <c r="D34" s="157"/>
      <c r="E34" s="158"/>
      <c r="F34" s="159"/>
      <c r="G34" s="192"/>
      <c r="H34" s="131"/>
      <c r="I34" s="131"/>
      <c r="J34" s="130"/>
      <c r="K34" s="132"/>
    </row>
    <row r="35" spans="1:11" ht="13.5" thickBot="1">
      <c r="A35" s="75"/>
      <c r="B35" s="76"/>
      <c r="C35" s="43"/>
      <c r="D35" s="77"/>
      <c r="E35" s="21"/>
      <c r="F35" s="74"/>
      <c r="G35" s="193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130000</v>
      </c>
      <c r="G36" s="44">
        <f>SUM(G18:G34)</f>
        <v>245839.17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F19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80000</v>
      </c>
      <c r="G38" s="42">
        <f>G36-G37</f>
        <v>245839.17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250.05200000002515</v>
      </c>
      <c r="G39" s="46">
        <f>G16-G36</f>
        <v>326596.47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H15:K15"/>
    <mergeCell ref="A13:E13"/>
    <mergeCell ref="H16:J16"/>
    <mergeCell ref="A16:E16"/>
    <mergeCell ref="F6:F7"/>
    <mergeCell ref="A6:A7"/>
    <mergeCell ref="A11:E11"/>
    <mergeCell ref="A15:E15"/>
    <mergeCell ref="A12:E12"/>
    <mergeCell ref="D6:D7"/>
    <mergeCell ref="H14:K14"/>
    <mergeCell ref="A39:E39"/>
    <mergeCell ref="H39:J39"/>
    <mergeCell ref="A14:E14"/>
    <mergeCell ref="H38:J38"/>
    <mergeCell ref="B38:E38"/>
    <mergeCell ref="A36:E36"/>
    <mergeCell ref="B37:E37"/>
    <mergeCell ref="H37:J37"/>
    <mergeCell ref="H36:J36"/>
    <mergeCell ref="H13:J13"/>
    <mergeCell ref="I6:I7"/>
    <mergeCell ref="H12:J12"/>
    <mergeCell ref="K6:K7"/>
    <mergeCell ref="G6:G7"/>
    <mergeCell ref="H11:K11"/>
    <mergeCell ref="A3:K3"/>
    <mergeCell ref="A4:K4"/>
    <mergeCell ref="A9:K9"/>
    <mergeCell ref="B6:B7"/>
    <mergeCell ref="C6:C7"/>
    <mergeCell ref="J6:J7"/>
    <mergeCell ref="H6:H7"/>
    <mergeCell ref="E6:E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9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42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8881.03</v>
      </c>
      <c r="E10" s="18" t="s">
        <v>6</v>
      </c>
      <c r="F10" s="19"/>
      <c r="G10" s="126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-150000</v>
      </c>
      <c r="G11" s="44">
        <v>-193140.52</v>
      </c>
      <c r="H11" s="375"/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170515.776</v>
      </c>
      <c r="G12" s="222">
        <f>37098.6+64892.16+68525.04</f>
        <v>170515.8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f>11670.53+20413.86+21556.68</f>
        <v>53641.07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f>16672.19+29162.65+30795.25</f>
        <v>76630.09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20515.776000000013</v>
      </c>
      <c r="G16" s="45">
        <f>G11+G12+G13+G14+G15</f>
        <v>107646.44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84" t="s">
        <v>22</v>
      </c>
      <c r="C18" s="93" t="s">
        <v>19</v>
      </c>
      <c r="D18" s="86"/>
      <c r="E18" s="86"/>
      <c r="F18" s="87">
        <v>50000</v>
      </c>
      <c r="G18" s="238"/>
      <c r="H18" s="68"/>
      <c r="I18" s="239"/>
      <c r="J18" s="237" t="s">
        <v>4</v>
      </c>
      <c r="K18" s="172"/>
    </row>
    <row r="19" spans="1:11" ht="12.75">
      <c r="A19" s="29">
        <v>2</v>
      </c>
      <c r="B19" s="150" t="s">
        <v>22</v>
      </c>
      <c r="C19" s="169" t="s">
        <v>154</v>
      </c>
      <c r="D19" s="91"/>
      <c r="E19" s="91"/>
      <c r="F19" s="160"/>
      <c r="G19" s="263">
        <f>227.55+455.1+464.17</f>
        <v>1146.8200000000002</v>
      </c>
      <c r="H19" s="171"/>
      <c r="I19" s="175">
        <v>2021</v>
      </c>
      <c r="J19" s="243" t="s">
        <v>3</v>
      </c>
      <c r="K19" s="242" t="s">
        <v>209</v>
      </c>
    </row>
    <row r="20" spans="1:11" ht="12.75">
      <c r="A20" s="29">
        <v>3</v>
      </c>
      <c r="B20" s="150" t="s">
        <v>158</v>
      </c>
      <c r="C20" s="169" t="s">
        <v>157</v>
      </c>
      <c r="D20" s="91"/>
      <c r="E20" s="91"/>
      <c r="F20" s="160"/>
      <c r="G20" s="263">
        <v>972</v>
      </c>
      <c r="H20" s="171"/>
      <c r="I20" s="175">
        <v>2021</v>
      </c>
      <c r="J20" s="174" t="s">
        <v>3</v>
      </c>
      <c r="K20" s="33"/>
    </row>
    <row r="21" spans="1:11" ht="12.75">
      <c r="A21" s="28">
        <v>4</v>
      </c>
      <c r="B21" s="150" t="s">
        <v>159</v>
      </c>
      <c r="C21" s="169" t="s">
        <v>232</v>
      </c>
      <c r="D21" s="91"/>
      <c r="E21" s="91"/>
      <c r="F21" s="160"/>
      <c r="G21" s="263">
        <f>1103.2+3592.93</f>
        <v>4696.13</v>
      </c>
      <c r="H21" s="171"/>
      <c r="I21" s="175" t="s">
        <v>204</v>
      </c>
      <c r="J21" s="243" t="s">
        <v>3</v>
      </c>
      <c r="K21" s="135"/>
    </row>
    <row r="22" spans="1:11" ht="12.75">
      <c r="A22" s="28">
        <v>5</v>
      </c>
      <c r="B22" s="150" t="s">
        <v>159</v>
      </c>
      <c r="C22" s="169" t="s">
        <v>187</v>
      </c>
      <c r="D22" s="91"/>
      <c r="E22" s="91" t="s">
        <v>188</v>
      </c>
      <c r="F22" s="160"/>
      <c r="G22" s="263">
        <v>10800</v>
      </c>
      <c r="H22" s="171"/>
      <c r="I22" s="175" t="s">
        <v>206</v>
      </c>
      <c r="J22" s="243" t="s">
        <v>3</v>
      </c>
      <c r="K22" s="243" t="s">
        <v>211</v>
      </c>
    </row>
    <row r="23" spans="1:11" ht="12.75">
      <c r="A23" s="28">
        <v>6</v>
      </c>
      <c r="B23" s="167"/>
      <c r="C23" s="150"/>
      <c r="D23" s="91"/>
      <c r="E23" s="91"/>
      <c r="F23" s="160"/>
      <c r="G23" s="189"/>
      <c r="H23" s="147"/>
      <c r="I23" s="91"/>
      <c r="J23" s="151"/>
      <c r="K23" s="217"/>
    </row>
    <row r="24" spans="1:11" ht="12.75">
      <c r="A24" s="78">
        <v>7</v>
      </c>
      <c r="B24" s="167"/>
      <c r="C24" s="161"/>
      <c r="D24" s="163"/>
      <c r="E24" s="164"/>
      <c r="F24" s="165"/>
      <c r="G24" s="191"/>
      <c r="H24" s="147"/>
      <c r="I24" s="164"/>
      <c r="J24" s="151"/>
      <c r="K24" s="195"/>
    </row>
    <row r="25" spans="1:11" ht="12.75">
      <c r="A25" s="28">
        <v>8</v>
      </c>
      <c r="B25" s="145"/>
      <c r="C25" s="166"/>
      <c r="D25" s="146"/>
      <c r="E25" s="147"/>
      <c r="F25" s="148"/>
      <c r="G25" s="186"/>
      <c r="H25" s="147"/>
      <c r="I25" s="147"/>
      <c r="J25" s="151"/>
      <c r="K25" s="217"/>
    </row>
    <row r="26" spans="1:11" ht="12.75">
      <c r="A26" s="28">
        <v>9</v>
      </c>
      <c r="B26" s="145"/>
      <c r="C26" s="166"/>
      <c r="D26" s="146"/>
      <c r="E26" s="147"/>
      <c r="F26" s="148"/>
      <c r="G26" s="186"/>
      <c r="H26" s="4"/>
      <c r="I26" s="4"/>
      <c r="J26" s="34"/>
      <c r="K26" s="24"/>
    </row>
    <row r="27" spans="1:11" ht="12.75">
      <c r="A27" s="28">
        <v>10</v>
      </c>
      <c r="B27" s="145"/>
      <c r="C27" s="166"/>
      <c r="D27" s="146"/>
      <c r="E27" s="147"/>
      <c r="F27" s="148"/>
      <c r="G27" s="144"/>
      <c r="H27" s="4"/>
      <c r="I27" s="4"/>
      <c r="J27" s="34"/>
      <c r="K27" s="24"/>
    </row>
    <row r="28" spans="1:11" ht="12.75">
      <c r="A28" s="28">
        <v>11</v>
      </c>
      <c r="B28" s="145"/>
      <c r="C28" s="166"/>
      <c r="D28" s="146"/>
      <c r="E28" s="147"/>
      <c r="F28" s="148"/>
      <c r="G28" s="144"/>
      <c r="H28" s="4"/>
      <c r="I28" s="4"/>
      <c r="J28" s="34"/>
      <c r="K28" s="24"/>
    </row>
    <row r="29" spans="1:11" ht="12.75">
      <c r="A29" s="28">
        <v>12</v>
      </c>
      <c r="B29" s="145"/>
      <c r="C29" s="166"/>
      <c r="D29" s="146"/>
      <c r="E29" s="147"/>
      <c r="F29" s="148"/>
      <c r="G29" s="144"/>
      <c r="H29" s="4"/>
      <c r="I29" s="4"/>
      <c r="J29" s="34"/>
      <c r="K29" s="24"/>
    </row>
    <row r="30" spans="1:11" ht="12.75">
      <c r="A30" s="28">
        <v>13</v>
      </c>
      <c r="B30" s="145"/>
      <c r="C30" s="166"/>
      <c r="D30" s="146"/>
      <c r="E30" s="147"/>
      <c r="F30" s="148"/>
      <c r="G30" s="144"/>
      <c r="H30" s="4"/>
      <c r="I30" s="4"/>
      <c r="J30" s="34"/>
      <c r="K30" s="24"/>
    </row>
    <row r="31" spans="1:11" ht="12.75">
      <c r="A31" s="28">
        <v>14</v>
      </c>
      <c r="B31" s="145"/>
      <c r="C31" s="166"/>
      <c r="D31" s="146"/>
      <c r="E31" s="147"/>
      <c r="F31" s="148"/>
      <c r="G31" s="144"/>
      <c r="H31" s="4"/>
      <c r="I31" s="4"/>
      <c r="J31" s="34"/>
      <c r="K31" s="24"/>
    </row>
    <row r="32" spans="1:11" ht="12.75">
      <c r="A32" s="28">
        <v>15</v>
      </c>
      <c r="B32" s="145"/>
      <c r="C32" s="166"/>
      <c r="D32" s="146"/>
      <c r="E32" s="147"/>
      <c r="F32" s="148"/>
      <c r="G32" s="144"/>
      <c r="H32" s="4"/>
      <c r="I32" s="4"/>
      <c r="J32" s="34"/>
      <c r="K32" s="24"/>
    </row>
    <row r="33" spans="1:11" ht="12.75">
      <c r="A33" s="28">
        <v>16</v>
      </c>
      <c r="B33" s="167"/>
      <c r="C33" s="143"/>
      <c r="D33" s="151"/>
      <c r="E33" s="91"/>
      <c r="F33" s="152"/>
      <c r="G33" s="160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50000</v>
      </c>
      <c r="G36" s="44">
        <f>SUM(G18:G34)</f>
        <v>17614.95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F18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0</v>
      </c>
      <c r="G38" s="42">
        <f>G36-G37</f>
        <v>17614.95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-29484.223999999987</v>
      </c>
      <c r="G39" s="46">
        <f>G16-G36</f>
        <v>90031.49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9:E39"/>
    <mergeCell ref="H39:J39"/>
    <mergeCell ref="B37:E37"/>
    <mergeCell ref="H37:J37"/>
    <mergeCell ref="B38:E38"/>
    <mergeCell ref="H38:J38"/>
    <mergeCell ref="A3:K3"/>
    <mergeCell ref="A4:K4"/>
    <mergeCell ref="A6:A7"/>
    <mergeCell ref="B6:B7"/>
    <mergeCell ref="C6:C7"/>
    <mergeCell ref="D6:D7"/>
    <mergeCell ref="E6:E7"/>
    <mergeCell ref="F6:F7"/>
    <mergeCell ref="H6:H7"/>
    <mergeCell ref="G6:G7"/>
    <mergeCell ref="H36:J36"/>
    <mergeCell ref="A15:E15"/>
    <mergeCell ref="H13:J13"/>
    <mergeCell ref="A14:E14"/>
    <mergeCell ref="A16:E16"/>
    <mergeCell ref="A36:E36"/>
    <mergeCell ref="A13:E13"/>
    <mergeCell ref="H16:J16"/>
    <mergeCell ref="H14:K14"/>
    <mergeCell ref="H15:K15"/>
    <mergeCell ref="J6:J7"/>
    <mergeCell ref="A11:E11"/>
    <mergeCell ref="A12:E12"/>
    <mergeCell ref="H12:J12"/>
    <mergeCell ref="H11:K11"/>
    <mergeCell ref="I6:I7"/>
    <mergeCell ref="K6:K7"/>
    <mergeCell ref="A9:K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8">
      <selection activeCell="H36" sqref="H36:J36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43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5359.66</v>
      </c>
      <c r="E10" s="18" t="s">
        <v>6</v>
      </c>
      <c r="F10" s="19"/>
      <c r="G10" s="126"/>
      <c r="H10" s="11" t="s">
        <v>8</v>
      </c>
      <c r="I10" s="12">
        <v>2.5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-50000</v>
      </c>
      <c r="G11" s="44">
        <f>-31703.04+11549.29</f>
        <v>-20153.75</v>
      </c>
      <c r="H11" s="375" t="s">
        <v>198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160789.8</v>
      </c>
      <c r="G12" s="222">
        <v>175441.82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32372.13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v>46245.9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110789.79999999999</v>
      </c>
      <c r="G16" s="45">
        <f>G11+G12+G13+G14+G15</f>
        <v>233906.1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2">
        <v>1</v>
      </c>
      <c r="B18" s="84" t="s">
        <v>17</v>
      </c>
      <c r="C18" s="93" t="s">
        <v>137</v>
      </c>
      <c r="D18" s="88" t="s">
        <v>138</v>
      </c>
      <c r="E18" s="88"/>
      <c r="F18" s="94">
        <v>61940</v>
      </c>
      <c r="G18" s="188">
        <v>0</v>
      </c>
      <c r="H18" s="113"/>
      <c r="I18" s="88"/>
      <c r="J18" s="229" t="s">
        <v>3</v>
      </c>
      <c r="K18" s="261" t="s">
        <v>234</v>
      </c>
    </row>
    <row r="19" spans="1:11" ht="12.75">
      <c r="A19" s="29">
        <v>2</v>
      </c>
      <c r="B19" s="22" t="s">
        <v>24</v>
      </c>
      <c r="C19" s="22" t="s">
        <v>19</v>
      </c>
      <c r="D19" s="2"/>
      <c r="E19" s="2"/>
      <c r="F19" s="3">
        <v>20000</v>
      </c>
      <c r="G19" s="185"/>
      <c r="H19" s="65"/>
      <c r="I19" s="2"/>
      <c r="J19" s="236" t="s">
        <v>4</v>
      </c>
      <c r="K19" s="168"/>
    </row>
    <row r="20" spans="1:11" ht="12.75">
      <c r="A20" s="29">
        <v>3</v>
      </c>
      <c r="B20" s="207" t="s">
        <v>24</v>
      </c>
      <c r="C20" s="209" t="s">
        <v>160</v>
      </c>
      <c r="D20" s="214"/>
      <c r="E20" s="214"/>
      <c r="F20" s="210"/>
      <c r="G20" s="264">
        <v>2460</v>
      </c>
      <c r="H20" s="211"/>
      <c r="I20" s="212" t="s">
        <v>205</v>
      </c>
      <c r="J20" s="213" t="s">
        <v>3</v>
      </c>
      <c r="K20" s="32"/>
    </row>
    <row r="21" spans="1:11" ht="12.75">
      <c r="A21" s="28">
        <v>4</v>
      </c>
      <c r="B21" s="207" t="s">
        <v>24</v>
      </c>
      <c r="C21" s="207" t="s">
        <v>161</v>
      </c>
      <c r="D21" s="214"/>
      <c r="E21" s="214"/>
      <c r="F21" s="216"/>
      <c r="G21" s="264">
        <v>1998</v>
      </c>
      <c r="H21" s="211"/>
      <c r="I21" s="212">
        <v>2021</v>
      </c>
      <c r="J21" s="213" t="s">
        <v>3</v>
      </c>
      <c r="K21" s="24"/>
    </row>
    <row r="22" spans="1:11" ht="12.75">
      <c r="A22" s="28">
        <v>5</v>
      </c>
      <c r="B22" s="150" t="s">
        <v>24</v>
      </c>
      <c r="C22" s="166" t="s">
        <v>154</v>
      </c>
      <c r="D22" s="146"/>
      <c r="E22" s="147"/>
      <c r="F22" s="148"/>
      <c r="G22" s="263">
        <v>98.4</v>
      </c>
      <c r="H22" s="147"/>
      <c r="I22" s="147">
        <v>2021</v>
      </c>
      <c r="J22" s="151" t="s">
        <v>3</v>
      </c>
      <c r="K22" s="242" t="s">
        <v>209</v>
      </c>
    </row>
    <row r="23" spans="1:11" ht="12.75">
      <c r="A23" s="28">
        <v>6</v>
      </c>
      <c r="B23" s="150" t="s">
        <v>233</v>
      </c>
      <c r="C23" s="207" t="s">
        <v>223</v>
      </c>
      <c r="D23" s="65"/>
      <c r="E23" s="51"/>
      <c r="F23" s="64"/>
      <c r="G23" s="265">
        <v>40000</v>
      </c>
      <c r="H23" s="206"/>
      <c r="I23" s="214" t="s">
        <v>212</v>
      </c>
      <c r="J23" s="213" t="s">
        <v>3</v>
      </c>
      <c r="K23" s="251" t="s">
        <v>224</v>
      </c>
    </row>
    <row r="24" spans="1:11" ht="12.75">
      <c r="A24" s="78">
        <v>7</v>
      </c>
      <c r="B24" s="161"/>
      <c r="C24" s="162"/>
      <c r="D24" s="163"/>
      <c r="E24" s="164"/>
      <c r="F24" s="165"/>
      <c r="G24" s="191"/>
      <c r="H24" s="80"/>
      <c r="I24" s="80"/>
      <c r="J24" s="79"/>
      <c r="K24" s="81"/>
    </row>
    <row r="25" spans="1:11" ht="12.75">
      <c r="A25" s="28">
        <v>8</v>
      </c>
      <c r="B25" s="145"/>
      <c r="C25" s="166"/>
      <c r="D25" s="146"/>
      <c r="E25" s="147"/>
      <c r="F25" s="148"/>
      <c r="G25" s="144"/>
      <c r="H25" s="4"/>
      <c r="I25" s="4"/>
      <c r="J25" s="25"/>
      <c r="K25" s="24"/>
    </row>
    <row r="26" spans="1:11" ht="12.75">
      <c r="A26" s="28">
        <v>9</v>
      </c>
      <c r="B26" s="145"/>
      <c r="C26" s="166"/>
      <c r="D26" s="146"/>
      <c r="E26" s="147"/>
      <c r="F26" s="148"/>
      <c r="G26" s="144"/>
      <c r="H26" s="4"/>
      <c r="I26" s="4"/>
      <c r="J26" s="34"/>
      <c r="K26" s="24"/>
    </row>
    <row r="27" spans="1:11" ht="12.75">
      <c r="A27" s="28">
        <v>10</v>
      </c>
      <c r="B27" s="145"/>
      <c r="C27" s="166"/>
      <c r="D27" s="146"/>
      <c r="E27" s="147"/>
      <c r="F27" s="148"/>
      <c r="G27" s="144"/>
      <c r="H27" s="4"/>
      <c r="I27" s="4"/>
      <c r="J27" s="34"/>
      <c r="K27" s="24"/>
    </row>
    <row r="28" spans="1:11" ht="12.75">
      <c r="A28" s="28">
        <v>11</v>
      </c>
      <c r="B28" s="145"/>
      <c r="C28" s="166"/>
      <c r="D28" s="146"/>
      <c r="E28" s="147"/>
      <c r="F28" s="148"/>
      <c r="G28" s="144"/>
      <c r="H28" s="4"/>
      <c r="I28" s="4"/>
      <c r="J28" s="34"/>
      <c r="K28" s="24"/>
    </row>
    <row r="29" spans="1:11" ht="12.75">
      <c r="A29" s="28">
        <v>12</v>
      </c>
      <c r="B29" s="145"/>
      <c r="C29" s="166"/>
      <c r="D29" s="146"/>
      <c r="E29" s="147"/>
      <c r="F29" s="148"/>
      <c r="G29" s="144"/>
      <c r="H29" s="4"/>
      <c r="I29" s="4"/>
      <c r="J29" s="34"/>
      <c r="K29" s="24"/>
    </row>
    <row r="30" spans="1:11" ht="12.75">
      <c r="A30" s="28">
        <v>13</v>
      </c>
      <c r="B30" s="145"/>
      <c r="C30" s="166"/>
      <c r="D30" s="146"/>
      <c r="E30" s="147"/>
      <c r="F30" s="148"/>
      <c r="G30" s="144"/>
      <c r="H30" s="4"/>
      <c r="I30" s="4"/>
      <c r="J30" s="34"/>
      <c r="K30" s="24"/>
    </row>
    <row r="31" spans="1:11" ht="12.75">
      <c r="A31" s="28">
        <v>14</v>
      </c>
      <c r="B31" s="145"/>
      <c r="C31" s="166"/>
      <c r="D31" s="146"/>
      <c r="E31" s="147"/>
      <c r="F31" s="148"/>
      <c r="G31" s="144"/>
      <c r="H31" s="4"/>
      <c r="I31" s="4"/>
      <c r="J31" s="34"/>
      <c r="K31" s="24"/>
    </row>
    <row r="32" spans="1:11" ht="12.75">
      <c r="A32" s="28">
        <v>15</v>
      </c>
      <c r="B32" s="145"/>
      <c r="C32" s="166"/>
      <c r="D32" s="146"/>
      <c r="E32" s="147"/>
      <c r="F32" s="148"/>
      <c r="G32" s="144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81940</v>
      </c>
      <c r="G36" s="44">
        <f>SUM(G18:G34)</f>
        <v>44556.4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F19</f>
        <v>20000</v>
      </c>
      <c r="G37" s="42">
        <f>G19</f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61940</v>
      </c>
      <c r="G38" s="42">
        <f>G36-G37</f>
        <v>44556.4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28849.79999999999</v>
      </c>
      <c r="G39" s="46">
        <f>G16-G36</f>
        <v>189349.7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A39:E39"/>
    <mergeCell ref="H39:J39"/>
    <mergeCell ref="H11:K11"/>
    <mergeCell ref="D6:D7"/>
    <mergeCell ref="E6:E7"/>
    <mergeCell ref="A36:E36"/>
    <mergeCell ref="H36:J36"/>
    <mergeCell ref="A14:E14"/>
    <mergeCell ref="A15:E15"/>
    <mergeCell ref="A16:E16"/>
    <mergeCell ref="H14:K14"/>
    <mergeCell ref="H15:K15"/>
    <mergeCell ref="H16:J16"/>
    <mergeCell ref="B37:E37"/>
    <mergeCell ref="H37:J37"/>
    <mergeCell ref="B38:E38"/>
    <mergeCell ref="H38:J38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9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44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18895.4</v>
      </c>
      <c r="E10" s="18" t="s">
        <v>6</v>
      </c>
      <c r="F10" s="19"/>
      <c r="G10" s="126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-270000</v>
      </c>
      <c r="G11" s="44">
        <f>-132404.32+32371.98</f>
        <v>-100032.34000000001</v>
      </c>
      <c r="H11" s="375" t="s">
        <v>199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498838.56000000006</v>
      </c>
      <c r="G12" s="222">
        <f>172856.68+114903.36+115288.8+115790.4</f>
        <v>518839.24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f>34971.37+26288.32+26376.51+26491.27</f>
        <v>114127.47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f>49959.1+37554.74+37680.72+37844.66</f>
        <v>163039.22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228838.56000000006</v>
      </c>
      <c r="G16" s="45">
        <f>G11+G12+G13+G14+G15</f>
        <v>695973.59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2">
        <v>1</v>
      </c>
      <c r="B18" s="67" t="s">
        <v>139</v>
      </c>
      <c r="C18" s="93" t="s">
        <v>137</v>
      </c>
      <c r="D18" s="86" t="s">
        <v>140</v>
      </c>
      <c r="E18" s="86"/>
      <c r="F18" s="87">
        <v>21185</v>
      </c>
      <c r="G18" s="190">
        <v>0</v>
      </c>
      <c r="H18" s="68"/>
      <c r="I18" s="86"/>
      <c r="J18" s="237" t="s">
        <v>3</v>
      </c>
      <c r="K18" s="261" t="s">
        <v>234</v>
      </c>
    </row>
    <row r="19" spans="1:11" ht="12.75">
      <c r="A19" s="29">
        <v>2</v>
      </c>
      <c r="B19" s="127" t="s">
        <v>139</v>
      </c>
      <c r="C19" s="30" t="s">
        <v>190</v>
      </c>
      <c r="D19" s="2"/>
      <c r="E19" s="2"/>
      <c r="F19" s="64">
        <v>80000</v>
      </c>
      <c r="G19" s="268">
        <f>53192.5+53290.9</f>
        <v>106483.4</v>
      </c>
      <c r="H19" s="65"/>
      <c r="I19" s="128" t="s">
        <v>206</v>
      </c>
      <c r="J19" s="236" t="s">
        <v>3</v>
      </c>
      <c r="K19" s="135"/>
    </row>
    <row r="20" spans="1:11" ht="12.75">
      <c r="A20" s="29">
        <v>3</v>
      </c>
      <c r="B20" s="127" t="s">
        <v>147</v>
      </c>
      <c r="C20" s="30" t="s">
        <v>167</v>
      </c>
      <c r="D20" s="2"/>
      <c r="E20" s="2"/>
      <c r="F20" s="64">
        <v>15000</v>
      </c>
      <c r="G20" s="268">
        <f>14354.1+14354.1+14354.1</f>
        <v>43062.3</v>
      </c>
      <c r="H20" s="65"/>
      <c r="I20" s="128" t="s">
        <v>205</v>
      </c>
      <c r="J20" s="236" t="s">
        <v>3</v>
      </c>
      <c r="K20" s="133"/>
    </row>
    <row r="21" spans="1:11" ht="12.75">
      <c r="A21" s="29">
        <v>4</v>
      </c>
      <c r="B21" s="127" t="s">
        <v>23</v>
      </c>
      <c r="C21" s="30" t="s">
        <v>19</v>
      </c>
      <c r="D21" s="2"/>
      <c r="E21" s="2"/>
      <c r="F21" s="64">
        <v>50000</v>
      </c>
      <c r="G21" s="268"/>
      <c r="H21" s="65"/>
      <c r="I21" s="2"/>
      <c r="J21" s="236" t="s">
        <v>4</v>
      </c>
      <c r="K21" s="32"/>
    </row>
    <row r="22" spans="1:11" ht="12.75">
      <c r="A22" s="23">
        <v>5</v>
      </c>
      <c r="B22" s="145" t="s">
        <v>23</v>
      </c>
      <c r="C22" s="169" t="s">
        <v>154</v>
      </c>
      <c r="D22" s="91"/>
      <c r="E22" s="91"/>
      <c r="F22" s="160"/>
      <c r="G22" s="263">
        <f>2064.36+2949.12</f>
        <v>5013.48</v>
      </c>
      <c r="H22" s="147"/>
      <c r="I22" s="147">
        <v>2021</v>
      </c>
      <c r="J22" s="91" t="s">
        <v>3</v>
      </c>
      <c r="K22" s="242" t="s">
        <v>209</v>
      </c>
    </row>
    <row r="23" spans="1:11" ht="12.75">
      <c r="A23" s="23">
        <v>6</v>
      </c>
      <c r="B23" s="150" t="s">
        <v>164</v>
      </c>
      <c r="C23" s="169" t="s">
        <v>163</v>
      </c>
      <c r="D23" s="91"/>
      <c r="E23" s="91"/>
      <c r="F23" s="160"/>
      <c r="G23" s="269">
        <v>387.45</v>
      </c>
      <c r="H23" s="91"/>
      <c r="I23" s="147">
        <v>2021</v>
      </c>
      <c r="J23" s="91" t="s">
        <v>3</v>
      </c>
      <c r="K23" s="178"/>
    </row>
    <row r="24" spans="1:11" ht="12.75">
      <c r="A24" s="28">
        <v>7</v>
      </c>
      <c r="B24" s="245" t="s">
        <v>165</v>
      </c>
      <c r="C24" s="169" t="s">
        <v>166</v>
      </c>
      <c r="D24" s="91"/>
      <c r="E24" s="91"/>
      <c r="F24" s="152"/>
      <c r="G24" s="269">
        <v>2460</v>
      </c>
      <c r="H24" s="171"/>
      <c r="I24" s="91" t="s">
        <v>205</v>
      </c>
      <c r="J24" s="243" t="s">
        <v>3</v>
      </c>
      <c r="K24" s="208"/>
    </row>
    <row r="25" spans="1:11" ht="12.75">
      <c r="A25" s="28">
        <v>8</v>
      </c>
      <c r="B25" s="245" t="s">
        <v>139</v>
      </c>
      <c r="C25" s="169" t="s">
        <v>189</v>
      </c>
      <c r="D25" s="91"/>
      <c r="E25" s="91"/>
      <c r="F25" s="152"/>
      <c r="G25" s="269">
        <v>6156</v>
      </c>
      <c r="H25" s="171"/>
      <c r="I25" s="175" t="s">
        <v>206</v>
      </c>
      <c r="J25" s="243" t="s">
        <v>3</v>
      </c>
      <c r="K25" s="242" t="s">
        <v>210</v>
      </c>
    </row>
    <row r="26" spans="1:11" ht="12.75">
      <c r="A26" s="28">
        <v>9</v>
      </c>
      <c r="B26" s="150" t="s">
        <v>165</v>
      </c>
      <c r="C26" s="207" t="s">
        <v>223</v>
      </c>
      <c r="D26" s="65"/>
      <c r="E26" s="51"/>
      <c r="F26" s="64"/>
      <c r="G26" s="265">
        <v>40000</v>
      </c>
      <c r="H26" s="206"/>
      <c r="I26" s="91" t="s">
        <v>212</v>
      </c>
      <c r="J26" s="213" t="s">
        <v>3</v>
      </c>
      <c r="K26" s="251" t="s">
        <v>224</v>
      </c>
    </row>
    <row r="27" spans="1:11" ht="12.75">
      <c r="A27" s="28">
        <v>10</v>
      </c>
      <c r="B27" s="145" t="s">
        <v>139</v>
      </c>
      <c r="C27" s="166" t="s">
        <v>235</v>
      </c>
      <c r="D27" s="146"/>
      <c r="E27" s="147"/>
      <c r="F27" s="148"/>
      <c r="G27" s="263">
        <v>2493.35</v>
      </c>
      <c r="H27" s="91"/>
      <c r="I27" s="91" t="s">
        <v>212</v>
      </c>
      <c r="J27" s="146" t="s">
        <v>3</v>
      </c>
      <c r="K27" s="24"/>
    </row>
    <row r="28" spans="1:11" ht="12.75">
      <c r="A28" s="28">
        <v>11</v>
      </c>
      <c r="B28" s="145"/>
      <c r="C28" s="166"/>
      <c r="D28" s="146"/>
      <c r="E28" s="147"/>
      <c r="F28" s="148"/>
      <c r="G28" s="186"/>
      <c r="H28" s="164"/>
      <c r="I28" s="147"/>
      <c r="J28" s="146"/>
      <c r="K28" s="24"/>
    </row>
    <row r="29" spans="1:11" ht="12.75">
      <c r="A29" s="28">
        <v>12</v>
      </c>
      <c r="B29" s="145"/>
      <c r="C29" s="166"/>
      <c r="D29" s="146"/>
      <c r="E29" s="147"/>
      <c r="F29" s="148"/>
      <c r="G29" s="186"/>
      <c r="H29" s="91"/>
      <c r="I29" s="147"/>
      <c r="J29" s="146"/>
      <c r="K29" s="24"/>
    </row>
    <row r="30" spans="1:11" ht="12.75">
      <c r="A30" s="28">
        <v>13</v>
      </c>
      <c r="B30" s="145"/>
      <c r="C30" s="166"/>
      <c r="D30" s="146"/>
      <c r="E30" s="147"/>
      <c r="F30" s="148"/>
      <c r="G30" s="186"/>
      <c r="H30" s="91"/>
      <c r="I30" s="147"/>
      <c r="J30" s="146"/>
      <c r="K30" s="24"/>
    </row>
    <row r="31" spans="1:11" ht="12.75">
      <c r="A31" s="28">
        <v>14</v>
      </c>
      <c r="B31" s="145"/>
      <c r="C31" s="166"/>
      <c r="D31" s="146"/>
      <c r="E31" s="147"/>
      <c r="F31" s="148"/>
      <c r="G31" s="186"/>
      <c r="H31" s="164"/>
      <c r="I31" s="147"/>
      <c r="J31" s="146"/>
      <c r="K31" s="24"/>
    </row>
    <row r="32" spans="1:11" ht="12.75">
      <c r="A32" s="28">
        <v>15</v>
      </c>
      <c r="B32" s="145"/>
      <c r="C32" s="166"/>
      <c r="D32" s="146"/>
      <c r="E32" s="147"/>
      <c r="F32" s="148"/>
      <c r="G32" s="186"/>
      <c r="H32" s="147"/>
      <c r="I32" s="147"/>
      <c r="J32" s="146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185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166185</v>
      </c>
      <c r="G36" s="44">
        <f>SUM(G18:G34)</f>
        <v>206055.98000000004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F21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116185</v>
      </c>
      <c r="G38" s="42">
        <f>G36-G37</f>
        <v>206055.98000000004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62653.560000000056</v>
      </c>
      <c r="G39" s="46">
        <f>G16-G36</f>
        <v>489917.6099999999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A39:E39"/>
    <mergeCell ref="H39:J39"/>
    <mergeCell ref="H11:K11"/>
    <mergeCell ref="D6:D7"/>
    <mergeCell ref="E6:E7"/>
    <mergeCell ref="A36:E36"/>
    <mergeCell ref="H36:J36"/>
    <mergeCell ref="A14:E14"/>
    <mergeCell ref="A15:E15"/>
    <mergeCell ref="A16:E16"/>
    <mergeCell ref="H14:K14"/>
    <mergeCell ref="H15:K15"/>
    <mergeCell ref="H16:J16"/>
    <mergeCell ref="B37:E37"/>
    <mergeCell ref="H37:J37"/>
    <mergeCell ref="B38:E38"/>
    <mergeCell ref="H38:J38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0">
      <selection activeCell="G15" sqref="G1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45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15366.98</v>
      </c>
      <c r="E10" s="18" t="s">
        <v>6</v>
      </c>
      <c r="F10" s="19"/>
      <c r="G10" s="126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-300000</v>
      </c>
      <c r="G11" s="44">
        <f>-444952.18+11370.52-40694.09+28150.55+21029.49+26009.1</f>
        <v>-399086.61000000004</v>
      </c>
      <c r="H11" s="375" t="s">
        <v>200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405688.272</v>
      </c>
      <c r="G12" s="222">
        <f>113313.24+95760.06+64144.08+118298.76+48401.64</f>
        <v>439917.78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f>23707.45+20253.2+13318.72+25207.65+10328.94</f>
        <v>92815.96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f>33867.78+28933.13+19026.74+36010.93+14755.62</f>
        <v>132594.2</v>
      </c>
      <c r="H15" s="345" t="s">
        <v>222</v>
      </c>
      <c r="I15" s="344"/>
      <c r="J15" s="344"/>
      <c r="K15" s="346"/>
    </row>
    <row r="16" spans="1:12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105688.272</v>
      </c>
      <c r="G16" s="45">
        <f>G11+G12+G13+G14+G15</f>
        <v>266241.33</v>
      </c>
      <c r="H16" s="335"/>
      <c r="I16" s="336"/>
      <c r="J16" s="336"/>
      <c r="K16" s="54"/>
      <c r="L16" s="221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3">
        <v>1</v>
      </c>
      <c r="B18" s="95" t="s">
        <v>144</v>
      </c>
      <c r="C18" s="96" t="s">
        <v>141</v>
      </c>
      <c r="D18" s="231"/>
      <c r="E18" s="86"/>
      <c r="F18" s="97">
        <v>100000</v>
      </c>
      <c r="G18" s="270">
        <f>32584.16+31482+10422</f>
        <v>74488.16</v>
      </c>
      <c r="H18" s="85"/>
      <c r="I18" s="86">
        <v>2021</v>
      </c>
      <c r="J18" s="85" t="s">
        <v>3</v>
      </c>
      <c r="K18" s="99"/>
    </row>
    <row r="19" spans="1:11" ht="12.75">
      <c r="A19" s="29">
        <v>2</v>
      </c>
      <c r="B19" s="27" t="s">
        <v>144</v>
      </c>
      <c r="C19" s="30" t="s">
        <v>142</v>
      </c>
      <c r="D19" s="232" t="s">
        <v>143</v>
      </c>
      <c r="E19" s="4"/>
      <c r="F19" s="31">
        <v>80940</v>
      </c>
      <c r="G19" s="223"/>
      <c r="H19" s="65"/>
      <c r="I19" s="128"/>
      <c r="J19" s="79" t="s">
        <v>3</v>
      </c>
      <c r="K19" s="262" t="s">
        <v>234</v>
      </c>
    </row>
    <row r="20" spans="1:11" ht="12.75">
      <c r="A20" s="29">
        <v>3</v>
      </c>
      <c r="B20" s="30" t="s">
        <v>56</v>
      </c>
      <c r="C20" s="30" t="s">
        <v>19</v>
      </c>
      <c r="D20" s="233"/>
      <c r="E20" s="147"/>
      <c r="F20" s="31">
        <v>50000</v>
      </c>
      <c r="G20" s="184"/>
      <c r="H20" s="65"/>
      <c r="I20" s="128"/>
      <c r="J20" s="236" t="s">
        <v>4</v>
      </c>
      <c r="K20" s="168"/>
    </row>
    <row r="21" spans="1:11" ht="12.75">
      <c r="A21" s="29">
        <v>4</v>
      </c>
      <c r="B21" s="169" t="s">
        <v>56</v>
      </c>
      <c r="C21" s="169" t="s">
        <v>169</v>
      </c>
      <c r="D21" s="233"/>
      <c r="E21" s="147"/>
      <c r="F21" s="144"/>
      <c r="G21" s="263">
        <f>2047.95+969.24</f>
        <v>3017.19</v>
      </c>
      <c r="H21" s="171"/>
      <c r="I21" s="175">
        <v>2021</v>
      </c>
      <c r="J21" s="243" t="s">
        <v>3</v>
      </c>
      <c r="K21" s="32"/>
    </row>
    <row r="22" spans="1:11" ht="12.75">
      <c r="A22" s="29">
        <v>5</v>
      </c>
      <c r="B22" s="169" t="s">
        <v>171</v>
      </c>
      <c r="C22" s="169" t="s">
        <v>170</v>
      </c>
      <c r="D22" s="233"/>
      <c r="E22" s="147"/>
      <c r="F22" s="144"/>
      <c r="G22" s="263">
        <f>11102.3+1536</f>
        <v>12638.3</v>
      </c>
      <c r="H22" s="171"/>
      <c r="I22" s="175">
        <v>2021</v>
      </c>
      <c r="J22" s="243" t="s">
        <v>3</v>
      </c>
      <c r="K22" s="177"/>
    </row>
    <row r="23" spans="1:11" ht="12.75">
      <c r="A23" s="23">
        <v>6</v>
      </c>
      <c r="B23" s="169" t="s">
        <v>56</v>
      </c>
      <c r="C23" s="169" t="s">
        <v>172</v>
      </c>
      <c r="D23" s="233"/>
      <c r="E23" s="147"/>
      <c r="F23" s="144"/>
      <c r="G23" s="263">
        <f>1213.4+2007.99+1105.2+8996.57+949.76</f>
        <v>14272.92</v>
      </c>
      <c r="H23" s="171"/>
      <c r="I23" s="175" t="s">
        <v>204</v>
      </c>
      <c r="J23" s="243" t="s">
        <v>3</v>
      </c>
      <c r="K23" s="178"/>
    </row>
    <row r="24" spans="1:11" ht="12.75">
      <c r="A24" s="28">
        <v>7</v>
      </c>
      <c r="B24" s="145" t="s">
        <v>173</v>
      </c>
      <c r="C24" s="169" t="s">
        <v>170</v>
      </c>
      <c r="D24" s="233"/>
      <c r="E24" s="147"/>
      <c r="F24" s="144"/>
      <c r="G24" s="263">
        <f>6713.19+13010.98</f>
        <v>19724.17</v>
      </c>
      <c r="H24" s="171"/>
      <c r="I24" s="175">
        <v>2021</v>
      </c>
      <c r="J24" s="174" t="s">
        <v>3</v>
      </c>
      <c r="K24" s="178"/>
    </row>
    <row r="25" spans="1:11" ht="12.75">
      <c r="A25" s="28">
        <v>8</v>
      </c>
      <c r="B25" s="145" t="s">
        <v>174</v>
      </c>
      <c r="C25" s="169" t="s">
        <v>175</v>
      </c>
      <c r="D25" s="233"/>
      <c r="E25" s="147"/>
      <c r="F25" s="144"/>
      <c r="G25" s="263">
        <f>113646+9990</f>
        <v>123636</v>
      </c>
      <c r="H25" s="171"/>
      <c r="I25" s="175" t="s">
        <v>206</v>
      </c>
      <c r="J25" s="174" t="s">
        <v>3</v>
      </c>
      <c r="K25" s="197" t="s">
        <v>183</v>
      </c>
    </row>
    <row r="26" spans="1:11" ht="12.75">
      <c r="A26" s="28">
        <v>9</v>
      </c>
      <c r="B26" s="145" t="s">
        <v>174</v>
      </c>
      <c r="C26" s="169" t="s">
        <v>170</v>
      </c>
      <c r="D26" s="233"/>
      <c r="E26" s="147"/>
      <c r="F26" s="144"/>
      <c r="G26" s="263">
        <f>2375.88+13471.08+721.29</f>
        <v>16568.25</v>
      </c>
      <c r="H26" s="171"/>
      <c r="I26" s="175">
        <v>2021</v>
      </c>
      <c r="J26" s="243" t="s">
        <v>3</v>
      </c>
      <c r="K26" s="197"/>
    </row>
    <row r="27" spans="1:11" ht="12.75">
      <c r="A27" s="28">
        <v>10</v>
      </c>
      <c r="B27" s="167" t="s">
        <v>176</v>
      </c>
      <c r="C27" s="169" t="s">
        <v>170</v>
      </c>
      <c r="D27" s="234"/>
      <c r="E27" s="147"/>
      <c r="F27" s="148"/>
      <c r="G27" s="263">
        <v>6772.27</v>
      </c>
      <c r="H27" s="147"/>
      <c r="I27" s="147">
        <v>2021</v>
      </c>
      <c r="J27" s="146" t="s">
        <v>3</v>
      </c>
      <c r="K27" s="178"/>
    </row>
    <row r="28" spans="1:11" ht="12.75">
      <c r="A28" s="28">
        <v>11</v>
      </c>
      <c r="B28" s="145" t="s">
        <v>56</v>
      </c>
      <c r="C28" s="166" t="s">
        <v>236</v>
      </c>
      <c r="D28" s="234"/>
      <c r="E28" s="147"/>
      <c r="F28" s="148"/>
      <c r="G28" s="263">
        <f>1214.13+1048.49+702.08+1282+519.59</f>
        <v>4766.29</v>
      </c>
      <c r="H28" s="147"/>
      <c r="I28" s="91" t="s">
        <v>212</v>
      </c>
      <c r="J28" s="146" t="s">
        <v>3</v>
      </c>
      <c r="K28" s="208"/>
    </row>
    <row r="29" spans="1:11" ht="12.75">
      <c r="A29" s="28">
        <v>12</v>
      </c>
      <c r="B29" s="145" t="s">
        <v>237</v>
      </c>
      <c r="C29" s="169" t="s">
        <v>170</v>
      </c>
      <c r="D29" s="233"/>
      <c r="E29" s="147"/>
      <c r="F29" s="144"/>
      <c r="G29" s="263">
        <f>569.17</f>
        <v>569.17</v>
      </c>
      <c r="H29" s="171"/>
      <c r="I29" s="175">
        <v>2021</v>
      </c>
      <c r="J29" s="243" t="s">
        <v>3</v>
      </c>
      <c r="K29" s="197"/>
    </row>
    <row r="30" spans="1:11" ht="12.75">
      <c r="A30" s="28">
        <v>13</v>
      </c>
      <c r="B30" s="145"/>
      <c r="C30" s="166"/>
      <c r="D30" s="234"/>
      <c r="E30" s="147"/>
      <c r="F30" s="148"/>
      <c r="G30" s="263"/>
      <c r="H30" s="147"/>
      <c r="I30" s="147"/>
      <c r="J30" s="146"/>
      <c r="K30" s="178"/>
    </row>
    <row r="31" spans="1:11" ht="12.75">
      <c r="A31" s="28">
        <v>14</v>
      </c>
      <c r="B31" s="145"/>
      <c r="C31" s="166"/>
      <c r="D31" s="234"/>
      <c r="E31" s="147"/>
      <c r="F31" s="148"/>
      <c r="G31" s="186"/>
      <c r="H31" s="147"/>
      <c r="I31" s="147"/>
      <c r="J31" s="146"/>
      <c r="K31" s="178"/>
    </row>
    <row r="32" spans="1:11" ht="12.75">
      <c r="A32" s="28">
        <v>15</v>
      </c>
      <c r="B32" s="145"/>
      <c r="C32" s="166"/>
      <c r="D32" s="234"/>
      <c r="E32" s="147"/>
      <c r="F32" s="148"/>
      <c r="G32" s="186"/>
      <c r="H32" s="147"/>
      <c r="I32" s="4"/>
      <c r="J32" s="146"/>
      <c r="K32" s="208"/>
    </row>
    <row r="33" spans="1:11" ht="12.75">
      <c r="A33" s="28">
        <v>16</v>
      </c>
      <c r="B33" s="27"/>
      <c r="C33" s="22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230940</v>
      </c>
      <c r="G36" s="44">
        <f>SUM(G18:G34)</f>
        <v>276452.72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F20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180940</v>
      </c>
      <c r="G38" s="42">
        <f>G36-G37</f>
        <v>276452.72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-125251.728</v>
      </c>
      <c r="G39" s="46">
        <f>G16-G36</f>
        <v>-10211.389999999956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I6:I7"/>
    <mergeCell ref="J6:J7"/>
    <mergeCell ref="F6:F7"/>
    <mergeCell ref="A9:K9"/>
    <mergeCell ref="G6:G7"/>
    <mergeCell ref="A39:E39"/>
    <mergeCell ref="H39:J39"/>
    <mergeCell ref="A11:E11"/>
    <mergeCell ref="D6:D7"/>
    <mergeCell ref="E6:E7"/>
    <mergeCell ref="A36:E36"/>
    <mergeCell ref="A14:E14"/>
    <mergeCell ref="A15:E15"/>
    <mergeCell ref="H15:K15"/>
    <mergeCell ref="H11:K11"/>
    <mergeCell ref="H16:J16"/>
    <mergeCell ref="A13:E13"/>
    <mergeCell ref="H13:J13"/>
    <mergeCell ref="A12:E12"/>
    <mergeCell ref="H12:J12"/>
    <mergeCell ref="H14:K14"/>
    <mergeCell ref="H37:J37"/>
    <mergeCell ref="B38:E38"/>
    <mergeCell ref="H38:J38"/>
    <mergeCell ref="B37:E37"/>
    <mergeCell ref="A16:E16"/>
    <mergeCell ref="H36:J36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4">
      <selection activeCell="J1" sqref="J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46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5787</v>
      </c>
      <c r="E10" s="18" t="s">
        <v>6</v>
      </c>
      <c r="F10" s="19"/>
      <c r="G10" s="126"/>
      <c r="H10" s="11" t="s">
        <v>8</v>
      </c>
      <c r="I10" s="12">
        <v>2.3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-170000</v>
      </c>
      <c r="G11" s="44">
        <f>-136155.81+11806.1</f>
        <v>-124349.70999999999</v>
      </c>
      <c r="H11" s="375" t="s">
        <v>201</v>
      </c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159721.19999999998</v>
      </c>
      <c r="G12" s="222">
        <v>177434.82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v>34953.25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v>49933.21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-10278.800000000017</v>
      </c>
      <c r="G16" s="45">
        <f>G11+G12+G13+G14+G15</f>
        <v>137971.57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84" t="s">
        <v>20</v>
      </c>
      <c r="C18" s="84" t="s">
        <v>19</v>
      </c>
      <c r="D18" s="86"/>
      <c r="E18" s="86"/>
      <c r="F18" s="87">
        <v>50000</v>
      </c>
      <c r="G18" s="190"/>
      <c r="H18" s="68"/>
      <c r="I18" s="86"/>
      <c r="J18" s="237" t="s">
        <v>4</v>
      </c>
      <c r="K18" s="225"/>
    </row>
    <row r="19" spans="1:11" ht="12.75">
      <c r="A19" s="29">
        <v>2</v>
      </c>
      <c r="B19" s="150" t="s">
        <v>57</v>
      </c>
      <c r="C19" s="169" t="s">
        <v>177</v>
      </c>
      <c r="D19" s="91"/>
      <c r="E19" s="91"/>
      <c r="F19" s="152"/>
      <c r="G19" s="269">
        <f>9303.42</f>
        <v>9303.42</v>
      </c>
      <c r="H19" s="171"/>
      <c r="I19" s="175">
        <v>2021</v>
      </c>
      <c r="J19" s="243" t="s">
        <v>3</v>
      </c>
      <c r="K19" s="242" t="s">
        <v>209</v>
      </c>
    </row>
    <row r="20" spans="1:11" ht="12.75">
      <c r="A20" s="29">
        <v>3</v>
      </c>
      <c r="B20" s="150" t="s">
        <v>57</v>
      </c>
      <c r="C20" s="150" t="s">
        <v>162</v>
      </c>
      <c r="D20" s="91"/>
      <c r="E20" s="91"/>
      <c r="F20" s="160"/>
      <c r="G20" s="269">
        <v>2460</v>
      </c>
      <c r="H20" s="171"/>
      <c r="I20" s="91" t="s">
        <v>204</v>
      </c>
      <c r="J20" s="243" t="s">
        <v>3</v>
      </c>
      <c r="K20" s="24"/>
    </row>
    <row r="21" spans="1:11" ht="12.75">
      <c r="A21" s="29">
        <v>4</v>
      </c>
      <c r="B21" s="150" t="s">
        <v>238</v>
      </c>
      <c r="C21" s="207" t="s">
        <v>223</v>
      </c>
      <c r="D21" s="65"/>
      <c r="E21" s="51"/>
      <c r="F21" s="64"/>
      <c r="G21" s="265">
        <v>40000</v>
      </c>
      <c r="H21" s="206"/>
      <c r="I21" s="91" t="s">
        <v>212</v>
      </c>
      <c r="J21" s="213" t="s">
        <v>3</v>
      </c>
      <c r="K21" s="251" t="s">
        <v>224</v>
      </c>
    </row>
    <row r="22" spans="1:11" ht="12.75">
      <c r="A22" s="29">
        <v>5</v>
      </c>
      <c r="B22" s="169"/>
      <c r="C22" s="169"/>
      <c r="D22" s="147"/>
      <c r="E22" s="147"/>
      <c r="F22" s="144"/>
      <c r="G22" s="263"/>
      <c r="H22" s="147"/>
      <c r="I22" s="175"/>
      <c r="J22" s="174"/>
      <c r="K22" s="177"/>
    </row>
    <row r="23" spans="1:11" ht="12.75">
      <c r="A23" s="23">
        <v>6</v>
      </c>
      <c r="B23" s="150"/>
      <c r="C23" s="150"/>
      <c r="D23" s="91"/>
      <c r="E23" s="91"/>
      <c r="F23" s="160"/>
      <c r="G23" s="189"/>
      <c r="H23" s="147"/>
      <c r="I23" s="91"/>
      <c r="J23" s="151"/>
      <c r="K23" s="178"/>
    </row>
    <row r="24" spans="1:11" ht="12.75">
      <c r="A24" s="28">
        <v>7</v>
      </c>
      <c r="B24" s="167"/>
      <c r="C24" s="143"/>
      <c r="D24" s="151"/>
      <c r="E24" s="91"/>
      <c r="F24" s="152"/>
      <c r="G24" s="189"/>
      <c r="H24" s="91"/>
      <c r="I24" s="91"/>
      <c r="J24" s="151"/>
      <c r="K24" s="178"/>
    </row>
    <row r="25" spans="1:11" ht="12.75">
      <c r="A25" s="28">
        <v>8</v>
      </c>
      <c r="B25" s="145"/>
      <c r="C25" s="166"/>
      <c r="D25" s="146"/>
      <c r="E25" s="147"/>
      <c r="F25" s="148"/>
      <c r="G25" s="186"/>
      <c r="H25" s="147"/>
      <c r="I25" s="147"/>
      <c r="J25" s="151"/>
      <c r="K25" s="178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50000</v>
      </c>
      <c r="G36" s="44">
        <f>SUM(G18:G34)</f>
        <v>51763.42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F18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0</v>
      </c>
      <c r="G38" s="42">
        <f>G36-G37</f>
        <v>51763.42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-60278.80000000002</v>
      </c>
      <c r="G39" s="46">
        <f>G16-G36</f>
        <v>86208.15000000001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4:K14"/>
    <mergeCell ref="H15:K1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2">
      <selection activeCell="F15" sqref="F1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4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244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1" t="s">
        <v>129</v>
      </c>
      <c r="I2" s="10"/>
      <c r="J2" s="10"/>
      <c r="K2" s="10"/>
    </row>
    <row r="3" spans="1:12" ht="12.75" customHeight="1">
      <c r="A3" s="361" t="s">
        <v>128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8"/>
    </row>
    <row r="4" spans="1:11" ht="12.75" customHeight="1">
      <c r="A4" s="361" t="s">
        <v>215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63" t="s">
        <v>9</v>
      </c>
      <c r="B6" s="347" t="s">
        <v>0</v>
      </c>
      <c r="C6" s="347" t="s">
        <v>1</v>
      </c>
      <c r="D6" s="347" t="s">
        <v>10</v>
      </c>
      <c r="E6" s="347" t="s">
        <v>11</v>
      </c>
      <c r="F6" s="347" t="s">
        <v>121</v>
      </c>
      <c r="G6" s="365" t="s">
        <v>12</v>
      </c>
      <c r="H6" s="347" t="s">
        <v>13</v>
      </c>
      <c r="I6" s="347" t="s">
        <v>14</v>
      </c>
      <c r="J6" s="347" t="s">
        <v>15</v>
      </c>
      <c r="K6" s="367" t="s">
        <v>2</v>
      </c>
    </row>
    <row r="7" spans="1:11" ht="13.5" thickBot="1">
      <c r="A7" s="364"/>
      <c r="B7" s="348"/>
      <c r="C7" s="348"/>
      <c r="D7" s="348"/>
      <c r="E7" s="348"/>
      <c r="F7" s="348"/>
      <c r="G7" s="366"/>
      <c r="H7" s="348"/>
      <c r="I7" s="348"/>
      <c r="J7" s="348"/>
      <c r="K7" s="368"/>
    </row>
    <row r="8" spans="1:11" ht="13.5" thickBot="1">
      <c r="A8" s="37"/>
      <c r="B8" s="37"/>
      <c r="C8" s="37"/>
      <c r="D8" s="37"/>
      <c r="E8" s="37"/>
      <c r="F8" s="37"/>
      <c r="G8" s="125"/>
      <c r="H8" s="37"/>
      <c r="I8" s="37"/>
      <c r="J8" s="37"/>
      <c r="K8" s="37"/>
    </row>
    <row r="9" spans="1:11" ht="21" customHeight="1" thickBot="1">
      <c r="A9" s="349" t="s">
        <v>47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 s="14" customFormat="1" ht="12.75" customHeight="1" thickBot="1">
      <c r="A10" s="15"/>
      <c r="B10" s="16"/>
      <c r="C10" s="16" t="s">
        <v>16</v>
      </c>
      <c r="D10" s="17">
        <v>13611.2</v>
      </c>
      <c r="E10" s="18" t="s">
        <v>6</v>
      </c>
      <c r="F10" s="19"/>
      <c r="G10" s="126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329" t="s">
        <v>127</v>
      </c>
      <c r="B11" s="330"/>
      <c r="C11" s="330"/>
      <c r="D11" s="330"/>
      <c r="E11" s="330"/>
      <c r="F11" s="44">
        <v>-220000</v>
      </c>
      <c r="G11" s="44">
        <v>-183903.63</v>
      </c>
      <c r="H11" s="375"/>
      <c r="I11" s="372"/>
      <c r="J11" s="372"/>
      <c r="K11" s="376"/>
    </row>
    <row r="12" spans="1:11" s="14" customFormat="1" ht="13.5" customHeight="1">
      <c r="A12" s="339" t="s">
        <v>26</v>
      </c>
      <c r="B12" s="340"/>
      <c r="C12" s="340"/>
      <c r="D12" s="340"/>
      <c r="E12" s="340"/>
      <c r="F12" s="41">
        <f>D10*I10*12</f>
        <v>261335.04000000004</v>
      </c>
      <c r="G12" s="222">
        <f>28281.6+28325.76+28335.36+28260.48+148131.84</f>
        <v>261335.03999999998</v>
      </c>
      <c r="H12" s="343"/>
      <c r="I12" s="344"/>
      <c r="J12" s="344"/>
      <c r="K12" s="53"/>
    </row>
    <row r="13" spans="1:11" s="14" customFormat="1" ht="13.5" customHeight="1">
      <c r="A13" s="339" t="s">
        <v>32</v>
      </c>
      <c r="B13" s="340"/>
      <c r="C13" s="340"/>
      <c r="D13" s="340"/>
      <c r="E13" s="340"/>
      <c r="F13" s="41">
        <f>-(D10*12*0)</f>
        <v>0</v>
      </c>
      <c r="G13" s="41">
        <v>0</v>
      </c>
      <c r="H13" s="343"/>
      <c r="I13" s="344"/>
      <c r="J13" s="344"/>
      <c r="K13" s="53"/>
    </row>
    <row r="14" spans="1:11" s="40" customFormat="1" ht="12.75" customHeight="1">
      <c r="A14" s="341" t="s">
        <v>36</v>
      </c>
      <c r="B14" s="342"/>
      <c r="C14" s="342"/>
      <c r="D14" s="342"/>
      <c r="E14" s="342"/>
      <c r="F14" s="41">
        <v>0</v>
      </c>
      <c r="G14" s="41">
        <f>8896.86+8910.75+8913.77+8890.22+46599.5</f>
        <v>82211.1</v>
      </c>
      <c r="H14" s="345" t="s">
        <v>221</v>
      </c>
      <c r="I14" s="344"/>
      <c r="J14" s="344"/>
      <c r="K14" s="346"/>
    </row>
    <row r="15" spans="1:11" s="14" customFormat="1" ht="13.5" customHeight="1">
      <c r="A15" s="339" t="s">
        <v>77</v>
      </c>
      <c r="B15" s="340"/>
      <c r="C15" s="340"/>
      <c r="D15" s="340"/>
      <c r="E15" s="340"/>
      <c r="F15" s="41">
        <v>0</v>
      </c>
      <c r="G15" s="41">
        <f>12709.8+12729.65+12733.96+12700.31+66570.71</f>
        <v>117444.43</v>
      </c>
      <c r="H15" s="345" t="s">
        <v>222</v>
      </c>
      <c r="I15" s="344"/>
      <c r="J15" s="344"/>
      <c r="K15" s="346"/>
    </row>
    <row r="16" spans="1:11" s="39" customFormat="1" ht="12.75" customHeight="1" thickBot="1">
      <c r="A16" s="333" t="s">
        <v>110</v>
      </c>
      <c r="B16" s="334"/>
      <c r="C16" s="334"/>
      <c r="D16" s="334"/>
      <c r="E16" s="334"/>
      <c r="F16" s="45">
        <f>F11+F12+F13+F14+F15</f>
        <v>41335.04000000004</v>
      </c>
      <c r="G16" s="45">
        <f>G11+G12+G13+G14+G15</f>
        <v>277086.93999999994</v>
      </c>
      <c r="H16" s="335"/>
      <c r="I16" s="336"/>
      <c r="J16" s="336"/>
      <c r="K16" s="54"/>
    </row>
    <row r="17" spans="1:11" s="82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1">
        <v>1</v>
      </c>
      <c r="B18" s="93" t="s">
        <v>145</v>
      </c>
      <c r="C18" s="93" t="s">
        <v>148</v>
      </c>
      <c r="D18" s="88"/>
      <c r="E18" s="88"/>
      <c r="F18" s="94">
        <v>25000</v>
      </c>
      <c r="G18" s="272">
        <f>52256.38+4243.5</f>
        <v>56499.88</v>
      </c>
      <c r="H18" s="85"/>
      <c r="I18" s="86" t="s">
        <v>206</v>
      </c>
      <c r="J18" s="85"/>
      <c r="K18" s="240"/>
    </row>
    <row r="19" spans="1:11" ht="12.75">
      <c r="A19" s="29">
        <v>2</v>
      </c>
      <c r="B19" s="22" t="s">
        <v>30</v>
      </c>
      <c r="C19" s="22" t="s">
        <v>19</v>
      </c>
      <c r="D19" s="2"/>
      <c r="E19" s="2"/>
      <c r="F19" s="3">
        <v>50000</v>
      </c>
      <c r="G19" s="268"/>
      <c r="H19" s="65"/>
      <c r="I19" s="2"/>
      <c r="J19" s="236" t="s">
        <v>4</v>
      </c>
      <c r="K19" s="32"/>
    </row>
    <row r="20" spans="1:11" ht="12.75">
      <c r="A20" s="29">
        <v>3</v>
      </c>
      <c r="B20" s="150" t="s">
        <v>30</v>
      </c>
      <c r="C20" s="169" t="s">
        <v>154</v>
      </c>
      <c r="D20" s="91"/>
      <c r="E20" s="91"/>
      <c r="F20" s="152"/>
      <c r="G20" s="269">
        <f>1277.64+1277.64+687.96+1898.31</f>
        <v>5141.55</v>
      </c>
      <c r="H20" s="171"/>
      <c r="I20" s="175">
        <v>2021</v>
      </c>
      <c r="J20" s="243" t="s">
        <v>3</v>
      </c>
      <c r="K20" s="242" t="s">
        <v>209</v>
      </c>
    </row>
    <row r="21" spans="1:11" ht="12.75">
      <c r="A21" s="29">
        <v>4</v>
      </c>
      <c r="B21" s="150" t="s">
        <v>30</v>
      </c>
      <c r="C21" s="169" t="s">
        <v>178</v>
      </c>
      <c r="D21" s="91"/>
      <c r="E21" s="91"/>
      <c r="F21" s="152"/>
      <c r="G21" s="269">
        <v>972</v>
      </c>
      <c r="H21" s="171"/>
      <c r="I21" s="175" t="s">
        <v>204</v>
      </c>
      <c r="J21" s="243" t="s">
        <v>3</v>
      </c>
      <c r="K21" s="177"/>
    </row>
    <row r="22" spans="1:11" ht="12.75">
      <c r="A22" s="29">
        <v>5</v>
      </c>
      <c r="B22" s="150" t="s">
        <v>180</v>
      </c>
      <c r="C22" s="169" t="s">
        <v>179</v>
      </c>
      <c r="D22" s="91"/>
      <c r="E22" s="91"/>
      <c r="F22" s="152"/>
      <c r="G22" s="269">
        <v>1620</v>
      </c>
      <c r="H22" s="171"/>
      <c r="I22" s="175" t="s">
        <v>204</v>
      </c>
      <c r="J22" s="243" t="s">
        <v>3</v>
      </c>
      <c r="K22" s="179"/>
    </row>
    <row r="23" spans="1:11" s="120" customFormat="1" ht="12.75">
      <c r="A23" s="119">
        <v>6</v>
      </c>
      <c r="B23" s="22"/>
      <c r="C23" s="30"/>
      <c r="D23" s="2"/>
      <c r="E23" s="2"/>
      <c r="F23" s="64"/>
      <c r="G23" s="268"/>
      <c r="H23" s="65"/>
      <c r="I23" s="128"/>
      <c r="J23" s="236"/>
      <c r="K23" s="180"/>
    </row>
    <row r="24" spans="1:11" ht="12.75">
      <c r="A24" s="28">
        <v>7</v>
      </c>
      <c r="B24" s="22"/>
      <c r="C24" s="22"/>
      <c r="D24" s="2"/>
      <c r="E24" s="2"/>
      <c r="F24" s="3"/>
      <c r="G24" s="268"/>
      <c r="H24" s="65"/>
      <c r="I24" s="2"/>
      <c r="J24" s="236"/>
      <c r="K24" s="178"/>
    </row>
    <row r="25" spans="1:11" ht="12.75">
      <c r="A25" s="28">
        <v>8</v>
      </c>
      <c r="B25" s="169"/>
      <c r="C25" s="166"/>
      <c r="D25" s="146"/>
      <c r="E25" s="147"/>
      <c r="F25" s="148"/>
      <c r="G25" s="186"/>
      <c r="H25" s="147"/>
      <c r="I25" s="147"/>
      <c r="J25" s="151"/>
      <c r="K25" s="178"/>
    </row>
    <row r="26" spans="1:11" ht="12.75">
      <c r="A26" s="28">
        <v>9</v>
      </c>
      <c r="B26" s="22"/>
      <c r="C26" s="22"/>
      <c r="D26" s="2"/>
      <c r="E26" s="2"/>
      <c r="F26" s="3"/>
      <c r="G26" s="185"/>
      <c r="H26" s="65"/>
      <c r="I26" s="2"/>
      <c r="J26" s="236"/>
      <c r="K26" s="178"/>
    </row>
    <row r="27" spans="1:11" ht="12.75">
      <c r="A27" s="28">
        <v>10</v>
      </c>
      <c r="B27" s="145"/>
      <c r="C27" s="166"/>
      <c r="D27" s="146"/>
      <c r="E27" s="147"/>
      <c r="F27" s="148"/>
      <c r="G27" s="186"/>
      <c r="H27" s="147"/>
      <c r="I27" s="147"/>
      <c r="J27" s="146"/>
      <c r="K27" s="178"/>
    </row>
    <row r="28" spans="1:11" ht="12.75">
      <c r="A28" s="28">
        <v>11</v>
      </c>
      <c r="B28" s="145"/>
      <c r="C28" s="166"/>
      <c r="D28" s="146"/>
      <c r="E28" s="147"/>
      <c r="F28" s="148"/>
      <c r="G28" s="144"/>
      <c r="H28" s="147"/>
      <c r="I28" s="147"/>
      <c r="J28" s="146"/>
      <c r="K28" s="178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0">
        <v>17</v>
      </c>
      <c r="B34" s="101"/>
      <c r="C34" s="102"/>
      <c r="D34" s="103"/>
      <c r="E34" s="104"/>
      <c r="F34" s="105"/>
      <c r="G34" s="106"/>
      <c r="H34" s="104"/>
      <c r="I34" s="104"/>
      <c r="J34" s="103"/>
      <c r="K34" s="107"/>
    </row>
    <row r="35" spans="1:11" ht="13.5" thickBot="1">
      <c r="A35" s="75"/>
      <c r="B35" s="76"/>
      <c r="C35" s="43"/>
      <c r="D35" s="77"/>
      <c r="E35" s="21"/>
      <c r="F35" s="74"/>
      <c r="G35" s="36"/>
      <c r="H35" s="21"/>
      <c r="I35" s="21"/>
      <c r="J35" s="77"/>
      <c r="K35" s="47"/>
    </row>
    <row r="36" spans="1:11" s="14" customFormat="1" ht="13.5" customHeight="1">
      <c r="A36" s="329" t="s">
        <v>113</v>
      </c>
      <c r="B36" s="330"/>
      <c r="C36" s="330"/>
      <c r="D36" s="330"/>
      <c r="E36" s="330"/>
      <c r="F36" s="44">
        <f>SUM(F18:F34)</f>
        <v>75000</v>
      </c>
      <c r="G36" s="44">
        <f>SUM(G18:G34)</f>
        <v>64233.43</v>
      </c>
      <c r="H36" s="371"/>
      <c r="I36" s="372"/>
      <c r="J36" s="372"/>
      <c r="K36" s="90"/>
    </row>
    <row r="37" spans="1:11" s="14" customFormat="1" ht="13.5" customHeight="1">
      <c r="A37" s="108"/>
      <c r="B37" s="317" t="s">
        <v>4</v>
      </c>
      <c r="C37" s="318"/>
      <c r="D37" s="319"/>
      <c r="E37" s="320"/>
      <c r="F37" s="42">
        <f>F19</f>
        <v>50000</v>
      </c>
      <c r="G37" s="42">
        <v>0</v>
      </c>
      <c r="H37" s="369"/>
      <c r="I37" s="370"/>
      <c r="J37" s="370"/>
      <c r="K37" s="55"/>
    </row>
    <row r="38" spans="1:11" s="14" customFormat="1" ht="13.5" customHeight="1">
      <c r="A38" s="108"/>
      <c r="B38" s="337" t="s">
        <v>3</v>
      </c>
      <c r="C38" s="337"/>
      <c r="D38" s="338"/>
      <c r="E38" s="338"/>
      <c r="F38" s="42">
        <f>F36-F37</f>
        <v>25000</v>
      </c>
      <c r="G38" s="42">
        <f>G36-G37</f>
        <v>64233.43</v>
      </c>
      <c r="H38" s="373"/>
      <c r="I38" s="374"/>
      <c r="J38" s="374"/>
      <c r="K38" s="35"/>
    </row>
    <row r="39" spans="1:11" s="14" customFormat="1" ht="13.5" customHeight="1" thickBot="1">
      <c r="A39" s="325" t="s">
        <v>120</v>
      </c>
      <c r="B39" s="326"/>
      <c r="C39" s="326"/>
      <c r="D39" s="326"/>
      <c r="E39" s="326"/>
      <c r="F39" s="46">
        <f>F16-F36</f>
        <v>-33664.95999999996</v>
      </c>
      <c r="G39" s="46">
        <f>G16-G36</f>
        <v>212853.50999999995</v>
      </c>
      <c r="H39" s="335"/>
      <c r="I39" s="336"/>
      <c r="J39" s="336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7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7" t="s">
        <v>89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A15:E15"/>
    <mergeCell ref="A14:E14"/>
    <mergeCell ref="H14:K14"/>
    <mergeCell ref="H15:K1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Jacek.Zarychta</cp:lastModifiedBy>
  <cp:lastPrinted>2022-06-20T08:20:55Z</cp:lastPrinted>
  <dcterms:created xsi:type="dcterms:W3CDTF">2010-10-22T05:56:20Z</dcterms:created>
  <dcterms:modified xsi:type="dcterms:W3CDTF">2023-02-01T14:03:43Z</dcterms:modified>
  <cp:category/>
  <cp:version/>
  <cp:contentType/>
  <cp:contentStatus/>
</cp:coreProperties>
</file>