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120" windowHeight="13425" activeTab="3"/>
  </bookViews>
  <sheets>
    <sheet name="RAZEM" sheetId="1" r:id="rId1"/>
    <sheet name="SFR" sheetId="2" r:id="rId2"/>
    <sheet name="N01" sheetId="3" r:id="rId3"/>
    <sheet name="N02" sheetId="4" r:id="rId4"/>
    <sheet name="N03" sheetId="5" r:id="rId5"/>
    <sheet name="N04" sheetId="6" r:id="rId6"/>
    <sheet name="N06" sheetId="7" r:id="rId7"/>
    <sheet name="N07" sheetId="8" r:id="rId8"/>
    <sheet name="N08" sheetId="9" r:id="rId9"/>
    <sheet name="N09" sheetId="10" r:id="rId10"/>
    <sheet name="N18" sheetId="11" r:id="rId11"/>
    <sheet name="GARAŻE N01" sheetId="12" r:id="rId12"/>
    <sheet name="GARAŻE N02" sheetId="13" r:id="rId13"/>
    <sheet name="GARAŻE N04" sheetId="14" r:id="rId14"/>
    <sheet name="GARAŻE N06" sheetId="15" r:id="rId15"/>
    <sheet name="Arkusz3" sheetId="16" r:id="rId16"/>
  </sheets>
  <definedNames>
    <definedName name="_xlnm.Print_Area" localSheetId="6">'N06'!$A$1:$K$41</definedName>
    <definedName name="_xlnm.Print_Titles" localSheetId="11">'GARAŻE N01'!$1:$7</definedName>
    <definedName name="_xlnm.Print_Titles" localSheetId="12">'GARAŻE N02'!$1:$7</definedName>
    <definedName name="_xlnm.Print_Titles" localSheetId="13">'GARAŻE N04'!$1:$7</definedName>
    <definedName name="_xlnm.Print_Titles" localSheetId="14">'GARAŻE N06'!$1:$7</definedName>
    <definedName name="_xlnm.Print_Titles" localSheetId="2">'N01'!$1:$7</definedName>
    <definedName name="_xlnm.Print_Titles" localSheetId="3">'N02'!$1:$7</definedName>
    <definedName name="_xlnm.Print_Titles" localSheetId="4">'N03'!$1:$7</definedName>
    <definedName name="_xlnm.Print_Titles" localSheetId="5">'N04'!$1:$7</definedName>
    <definedName name="_xlnm.Print_Titles" localSheetId="6">'N06'!$1:$7</definedName>
    <definedName name="_xlnm.Print_Titles" localSheetId="7">'N07'!$1:$7</definedName>
    <definedName name="_xlnm.Print_Titles" localSheetId="8">'N08'!$1:$7</definedName>
    <definedName name="_xlnm.Print_Titles" localSheetId="9">'N09'!$1:$7</definedName>
    <definedName name="_xlnm.Print_Titles" localSheetId="10">'N18'!$1:$7</definedName>
    <definedName name="_xlnm.Print_Titles" localSheetId="0">'RAZEM'!$1:$7</definedName>
    <definedName name="_xlnm.Print_Titles" localSheetId="1">'SFR'!$1:$7</definedName>
  </definedNames>
  <calcPr fullCalcOnLoad="1"/>
</workbook>
</file>

<file path=xl/sharedStrings.xml><?xml version="1.0" encoding="utf-8"?>
<sst xmlns="http://schemas.openxmlformats.org/spreadsheetml/2006/main" count="869" uniqueCount="209">
  <si>
    <t>Adres</t>
  </si>
  <si>
    <t>Opis robót remontowych</t>
  </si>
  <si>
    <t>Uwagi</t>
  </si>
  <si>
    <t>Obcy</t>
  </si>
  <si>
    <t>Ekipa</t>
  </si>
  <si>
    <t>m2</t>
  </si>
  <si>
    <t>zł/m2</t>
  </si>
  <si>
    <t>stawka =</t>
  </si>
  <si>
    <t>L.p.</t>
  </si>
  <si>
    <t>Zakres plan.</t>
  </si>
  <si>
    <t>Zakres wyk.</t>
  </si>
  <si>
    <t>Wartość wyk.</t>
  </si>
  <si>
    <t>Termin plan.</t>
  </si>
  <si>
    <t>Termin wyk.</t>
  </si>
  <si>
    <t>Wyk. robót</t>
  </si>
  <si>
    <t>pow. użyt. lokali mieszkalnych =</t>
  </si>
  <si>
    <t>Szegedyńska 10</t>
  </si>
  <si>
    <t>Wrzeciono 12</t>
  </si>
  <si>
    <t>Rezerwa na awarie i roboty nieprzewidziane</t>
  </si>
  <si>
    <t>Przy Agorze 3</t>
  </si>
  <si>
    <t>N01</t>
  </si>
  <si>
    <t>N02</t>
  </si>
  <si>
    <t>N04</t>
  </si>
  <si>
    <t>N03</t>
  </si>
  <si>
    <t>II. NALICZENIE ROCZNE funduszu remontowego nieruchomości:</t>
  </si>
  <si>
    <t>SFR</t>
  </si>
  <si>
    <t>N08</t>
  </si>
  <si>
    <t>N18</t>
  </si>
  <si>
    <t>III. ODPIS na SFR:</t>
  </si>
  <si>
    <t>II. ODPIS z naliczenia funduszy remontowych nieruchomości:</t>
  </si>
  <si>
    <t>VIII. RAZEM WYDATKI:</t>
  </si>
  <si>
    <t>VII. ŚRODKI DO WYKORZYSTANIA (I+II+III+IV+VI):</t>
  </si>
  <si>
    <t>IV. DODATKOWE ZASILENIA:</t>
  </si>
  <si>
    <t>Wrzec. 57B/59-59C</t>
  </si>
  <si>
    <t>pow. garaży =</t>
  </si>
  <si>
    <t>III. ODPIS 100% z naliczenia fun. remont. lokali użytkowych:</t>
  </si>
  <si>
    <t>Nieruchomość 01 - lokale mieszkalne</t>
  </si>
  <si>
    <t>Nieruchomość 02 - lokale mieszkalne</t>
  </si>
  <si>
    <t>Nieruchomość 03 - lokale mieszkalne</t>
  </si>
  <si>
    <t>Nieruchomość 04 - lokale mieszkalne</t>
  </si>
  <si>
    <t>Nieruchomość 06 - lokale mieszkalne</t>
  </si>
  <si>
    <t>Nieruchomość 07 - lokale mieszkalne</t>
  </si>
  <si>
    <t>Nieruchomość 08 - lokale mieszkalne</t>
  </si>
  <si>
    <t>Nieruchomość 09 - lokale mieszkalne</t>
  </si>
  <si>
    <t>Nieruchomość 018 - lokale mieszkalne</t>
  </si>
  <si>
    <t>RAZEM WSZYSTKIE FUNDUSZE</t>
  </si>
  <si>
    <t>N06</t>
  </si>
  <si>
    <t>N07</t>
  </si>
  <si>
    <t>N09</t>
  </si>
  <si>
    <t>GARAŻE</t>
  </si>
  <si>
    <t>MIESZKANIA</t>
  </si>
  <si>
    <t>Rodzaj lokali</t>
  </si>
  <si>
    <t>Adresy</t>
  </si>
  <si>
    <t>Wrzeciono 6,8,8A,10</t>
  </si>
  <si>
    <t>Szegedyńska 4,8; Wrzeciono 50</t>
  </si>
  <si>
    <t>Szegedyńska 1,5,5A; Szubińska 6; Wrzeciono 52,54A</t>
  </si>
  <si>
    <t>Marymoncka 137/139; Wrzeciono 55,55A,57,57A</t>
  </si>
  <si>
    <t>Marymoncka 129,131</t>
  </si>
  <si>
    <t>Wrzeciono 57B,59,59A,59B,59C</t>
  </si>
  <si>
    <t>Szegedyńska 2,6</t>
  </si>
  <si>
    <t>Nieruchomość N01 - garaże</t>
  </si>
  <si>
    <t>Nieruchomość N04 - garaże</t>
  </si>
  <si>
    <t>Nieruchomość N02 - garaże</t>
  </si>
  <si>
    <t>V. ZASILENIE z SFR:</t>
  </si>
  <si>
    <t>V. ZASILENIE NIERUCHOMOŚCI z SFR:</t>
  </si>
  <si>
    <t xml:space="preserve"> </t>
  </si>
  <si>
    <t>Lokale użytkowe</t>
  </si>
  <si>
    <t>UŻYTKOWE</t>
  </si>
  <si>
    <t>Wrzeciono 10C, Szegedyńska 3, Przy Agorze 1</t>
  </si>
  <si>
    <t>Szegedyńska 3A,3B,7,9, Wrzeciono 54</t>
  </si>
  <si>
    <t>Wrzeciono 10B</t>
  </si>
  <si>
    <t>VI. ŚRODKI SFR-Osiedla DO WYKORZYSTANIA (I+II+III+IV+V):</t>
  </si>
  <si>
    <t>VI. ŚRODKI DO WYKORZYSTANIA (I+II+III+IV+V):</t>
  </si>
  <si>
    <t>SCENTRALIZOWANY FUNDUSZ REMONTOWY LOKALI UŻYTKOWYCH</t>
  </si>
  <si>
    <t>VII. RAZEM WYDATKI:</t>
  </si>
  <si>
    <t>III. Odpisy obciążające koszty eksploatacji dźwigów:</t>
  </si>
  <si>
    <t>IV. SUMA DODATKOWYCH ZASILEŃ</t>
  </si>
  <si>
    <t>I. SALDO na początek okresu</t>
  </si>
  <si>
    <t>II. Odpisy od lokali mieszkalnych i użytkowych:</t>
  </si>
  <si>
    <t>IX. SALDO NA KONIEC OKRESU (VII-VIII):</t>
  </si>
  <si>
    <t>VIII. SALDO NA KONIEC OKRESU (VI-VII):</t>
  </si>
  <si>
    <t>Wartość plan roczna</t>
  </si>
  <si>
    <t>% wykonania</t>
  </si>
  <si>
    <t>I. SALDO na początek okresu:</t>
  </si>
  <si>
    <t>Naprawa balkonów, loggii, tarasów</t>
  </si>
  <si>
    <t>Wrzec. 57B, 59-59C</t>
  </si>
  <si>
    <t>Sz1</t>
  </si>
  <si>
    <t>Sz5A</t>
  </si>
  <si>
    <t>W6</t>
  </si>
  <si>
    <t>przeksiegowano salda i naliczenia z dźwigów na lokale mieszkalne od 01.07.2021 r.</t>
  </si>
  <si>
    <t>PLAN RZECZOWY NA ROK 2022</t>
  </si>
  <si>
    <t>PA1A</t>
  </si>
  <si>
    <t>remont ciągów pieszo-jezdnych</t>
  </si>
  <si>
    <t>1 paw</t>
  </si>
  <si>
    <t>pow. użyt. lokali uzytkowych (bez WSS SPOŁEM) =</t>
  </si>
  <si>
    <t>1 kl</t>
  </si>
  <si>
    <t>W54A</t>
  </si>
  <si>
    <t>Wymiana poziomów c.w. i z.w.</t>
  </si>
  <si>
    <t>1 bud</t>
  </si>
  <si>
    <t>Remont parteru klatki schodowej</t>
  </si>
  <si>
    <t>Naprawa balkonów</t>
  </si>
  <si>
    <t>W55</t>
  </si>
  <si>
    <t>W55A</t>
  </si>
  <si>
    <t>W57</t>
  </si>
  <si>
    <t>W57A</t>
  </si>
  <si>
    <t>Uszczelnianie stropów hal garażowych</t>
  </si>
  <si>
    <t>Legalizacja wodomierzy</t>
  </si>
  <si>
    <t>Szu6</t>
  </si>
  <si>
    <t>M137/139</t>
  </si>
  <si>
    <t>M129/131</t>
  </si>
  <si>
    <t>Montaż oświetlenia awaryjnego/oddymianie</t>
  </si>
  <si>
    <t>Remont klatek</t>
  </si>
  <si>
    <t>Sz4</t>
  </si>
  <si>
    <t>2 kl</t>
  </si>
  <si>
    <t>Remont balkonów</t>
  </si>
  <si>
    <t>W8A</t>
  </si>
  <si>
    <t>M129</t>
  </si>
  <si>
    <t>3 kl</t>
  </si>
  <si>
    <t>Wymiana drzwi garażowych</t>
  </si>
  <si>
    <t>Remont mechanizmów bram garażowych</t>
  </si>
  <si>
    <t>Remont wiatrołapów</t>
  </si>
  <si>
    <t>W50,Sz8,Sz4</t>
  </si>
  <si>
    <t>Nieruchomość N06 - garaże, hale garażowe</t>
  </si>
  <si>
    <t xml:space="preserve">VI. Zasilenie z SFR Spółdzielni </t>
  </si>
  <si>
    <t>PROJEKT 2</t>
  </si>
  <si>
    <t xml:space="preserve">  </t>
  </si>
  <si>
    <t>roboty drobne</t>
  </si>
  <si>
    <t>wymiana wodomierzy</t>
  </si>
  <si>
    <t>W 10C</t>
  </si>
  <si>
    <t>uruchomienie inst. gazowej w klubie seniora</t>
  </si>
  <si>
    <t>Naprawa zapadniętej opaski</t>
  </si>
  <si>
    <t>Roboty dekarskie po wichurze</t>
  </si>
  <si>
    <t>Naprawy bieżące</t>
  </si>
  <si>
    <t>Wymiana wodomierzy</t>
  </si>
  <si>
    <t>Sz8</t>
  </si>
  <si>
    <t>Naprawa elewacji</t>
  </si>
  <si>
    <t>Wymiana drabiny na dach</t>
  </si>
  <si>
    <t>Sz10</t>
  </si>
  <si>
    <t>dokończ. z 2021</t>
  </si>
  <si>
    <t>W8</t>
  </si>
  <si>
    <t>Modernizacja inst. domofonowej</t>
  </si>
  <si>
    <t>W6, W8, W10</t>
  </si>
  <si>
    <t>roboty drogowe</t>
  </si>
  <si>
    <t>W57B</t>
  </si>
  <si>
    <t>Modernizacja domofonów</t>
  </si>
  <si>
    <t>W59</t>
  </si>
  <si>
    <t>W59A</t>
  </si>
  <si>
    <t>roboty malarskie na klatkach</t>
  </si>
  <si>
    <t>W59C</t>
  </si>
  <si>
    <t>W59B</t>
  </si>
  <si>
    <t>naprawa dźwigu</t>
  </si>
  <si>
    <t>Modernizacja wjazdu do hali garażowej</t>
  </si>
  <si>
    <t>rezygnacja</t>
  </si>
  <si>
    <t>naprawa zerwanego dachu w czasie burzy</t>
  </si>
  <si>
    <t>Roboty dekarskie</t>
  </si>
  <si>
    <t>Materiały, drobne naprawy</t>
  </si>
  <si>
    <t>wymiana drabiny na dach</t>
  </si>
  <si>
    <t>W52</t>
  </si>
  <si>
    <t>roboty dekarskie</t>
  </si>
  <si>
    <t>W8A,W8</t>
  </si>
  <si>
    <t>I kw</t>
  </si>
  <si>
    <t>II kw</t>
  </si>
  <si>
    <t>strona 1 z 15</t>
  </si>
  <si>
    <t>strona 2 z 15</t>
  </si>
  <si>
    <t>strona 3 z 15</t>
  </si>
  <si>
    <t>strona 4 z 15</t>
  </si>
  <si>
    <t>strona 5 z 15</t>
  </si>
  <si>
    <t>strona 6 z 15</t>
  </si>
  <si>
    <t>strona 7 z 15</t>
  </si>
  <si>
    <t>strona 8 z 15</t>
  </si>
  <si>
    <t>strona 9 z 15</t>
  </si>
  <si>
    <t>strona 10 z 15</t>
  </si>
  <si>
    <t>strona 11 z 15</t>
  </si>
  <si>
    <t>strona 12 z 15</t>
  </si>
  <si>
    <t>strona 13 z 15</t>
  </si>
  <si>
    <t>strona 14 z 15</t>
  </si>
  <si>
    <t>strona 15 z 15</t>
  </si>
  <si>
    <t>III kw</t>
  </si>
  <si>
    <t>Sz1,Sz52,Sz6,W54A</t>
  </si>
  <si>
    <t>Naprawa zapadnietych posadzek w piwnicach lok.</t>
  </si>
  <si>
    <t>3 szt</t>
  </si>
  <si>
    <t>Remont wejścia do klatki, gres na ścianach</t>
  </si>
  <si>
    <t>5 szt</t>
  </si>
  <si>
    <t>7 szt</t>
  </si>
  <si>
    <t>W57A, M137/139</t>
  </si>
  <si>
    <t>Naprawa bramy</t>
  </si>
  <si>
    <t>FUNDUSZE REMONTOWE NIERUCHOMOŚCI - wykonanie po 12-tu miesiącach</t>
  </si>
  <si>
    <t>dn.06.01.2023</t>
  </si>
  <si>
    <t xml:space="preserve">          śr. stawka =</t>
  </si>
  <si>
    <t>IV kw</t>
  </si>
  <si>
    <t>Remont schodów zewnętrznych</t>
  </si>
  <si>
    <t>Sz5</t>
  </si>
  <si>
    <t>Straż pożarna</t>
  </si>
  <si>
    <t>I-IV kw</t>
  </si>
  <si>
    <t>Naprawy drobne elewacji</t>
  </si>
  <si>
    <t>Drobne naprawy elewacji</t>
  </si>
  <si>
    <t>awaria</t>
  </si>
  <si>
    <t>Remont zapadnietej studzienki kanalizacyjnej</t>
  </si>
  <si>
    <t>III-IV kw</t>
  </si>
  <si>
    <t>wymiana szyb w oknach na klatkach</t>
  </si>
  <si>
    <t>naprawa rynien</t>
  </si>
  <si>
    <t>2 szt</t>
  </si>
  <si>
    <t>do wykon. w 2023</t>
  </si>
  <si>
    <t>1 szt</t>
  </si>
  <si>
    <t>drobne naprawa balkonów</t>
  </si>
  <si>
    <t>na rok 2023</t>
  </si>
  <si>
    <t>odpadły płytki</t>
  </si>
  <si>
    <t>pęknięte</t>
  </si>
  <si>
    <t>Wymiana pionu grzewczego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</si>
</sst>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10" fillId="33" borderId="19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33" borderId="20" xfId="0" applyNumberFormat="1" applyFont="1" applyFill="1" applyBorder="1" applyAlignment="1">
      <alignment horizontal="right"/>
    </xf>
    <xf numFmtId="4" fontId="4" fillId="33" borderId="21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10" fillId="33" borderId="3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4" fontId="4" fillId="0" borderId="30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right" vertical="top"/>
    </xf>
    <xf numFmtId="0" fontId="4" fillId="0" borderId="31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10" fillId="33" borderId="15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4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0" fillId="0" borderId="39" xfId="0" applyBorder="1" applyAlignment="1">
      <alignment wrapText="1"/>
    </xf>
    <xf numFmtId="0" fontId="4" fillId="0" borderId="2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top" wrapText="1"/>
    </xf>
    <xf numFmtId="4" fontId="10" fillId="0" borderId="13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4" fontId="10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/>
    </xf>
    <xf numFmtId="0" fontId="10" fillId="0" borderId="40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top"/>
    </xf>
    <xf numFmtId="0" fontId="10" fillId="0" borderId="40" xfId="0" applyFont="1" applyBorder="1" applyAlignment="1">
      <alignment horizontal="center"/>
    </xf>
    <xf numFmtId="4" fontId="10" fillId="0" borderId="4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" fontId="10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10" fillId="0" borderId="29" xfId="0" applyFont="1" applyBorder="1" applyAlignment="1">
      <alignment horizontal="center"/>
    </xf>
    <xf numFmtId="0" fontId="11" fillId="0" borderId="23" xfId="0" applyFont="1" applyBorder="1" applyAlignment="1">
      <alignment wrapText="1"/>
    </xf>
    <xf numFmtId="0" fontId="11" fillId="0" borderId="18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10" fillId="0" borderId="3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 vertical="center"/>
    </xf>
    <xf numFmtId="4" fontId="10" fillId="34" borderId="11" xfId="0" applyNumberFormat="1" applyFont="1" applyFill="1" applyBorder="1" applyAlignment="1">
      <alignment horizontal="right" vertical="center"/>
    </xf>
    <xf numFmtId="4" fontId="4" fillId="34" borderId="3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4" fontId="10" fillId="34" borderId="40" xfId="0" applyNumberFormat="1" applyFont="1" applyFill="1" applyBorder="1" applyAlignment="1">
      <alignment horizontal="right"/>
    </xf>
    <xf numFmtId="4" fontId="10" fillId="34" borderId="21" xfId="0" applyNumberFormat="1" applyFont="1" applyFill="1" applyBorder="1" applyAlignment="1">
      <alignment horizontal="right"/>
    </xf>
    <xf numFmtId="4" fontId="4" fillId="34" borderId="0" xfId="0" applyNumberFormat="1" applyFont="1" applyFill="1" applyBorder="1" applyAlignment="1">
      <alignment horizontal="right"/>
    </xf>
    <xf numFmtId="0" fontId="10" fillId="0" borderId="36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0" fillId="0" borderId="23" xfId="0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0" fillId="0" borderId="16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10" fillId="0" borderId="15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34" borderId="0" xfId="0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9" fontId="4" fillId="0" borderId="44" xfId="0" applyNumberFormat="1" applyFont="1" applyBorder="1" applyAlignment="1">
      <alignment horizontal="center"/>
    </xf>
    <xf numFmtId="10" fontId="4" fillId="0" borderId="3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10" fontId="4" fillId="0" borderId="21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top"/>
    </xf>
    <xf numFmtId="0" fontId="4" fillId="0" borderId="3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right"/>
    </xf>
    <xf numFmtId="4" fontId="4" fillId="33" borderId="29" xfId="0" applyNumberFormat="1" applyFont="1" applyFill="1" applyBorder="1" applyAlignment="1">
      <alignment horizontal="right"/>
    </xf>
    <xf numFmtId="4" fontId="4" fillId="33" borderId="30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/>
    </xf>
    <xf numFmtId="4" fontId="4" fillId="0" borderId="30" xfId="0" applyNumberFormat="1" applyFont="1" applyBorder="1" applyAlignment="1">
      <alignment horizontal="right" vertical="top"/>
    </xf>
    <xf numFmtId="0" fontId="4" fillId="0" borderId="44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top" wrapText="1"/>
    </xf>
    <xf numFmtId="0" fontId="10" fillId="0" borderId="36" xfId="0" applyFont="1" applyBorder="1" applyAlignment="1">
      <alignment vertical="center"/>
    </xf>
    <xf numFmtId="0" fontId="11" fillId="0" borderId="36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10" fillId="0" borderId="29" xfId="0" applyNumberFormat="1" applyFont="1" applyBorder="1" applyAlignment="1">
      <alignment horizontal="right"/>
    </xf>
    <xf numFmtId="0" fontId="10" fillId="0" borderId="29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/>
    </xf>
    <xf numFmtId="4" fontId="4" fillId="0" borderId="20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top"/>
    </xf>
    <xf numFmtId="4" fontId="10" fillId="0" borderId="29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0" borderId="21" xfId="0" applyFont="1" applyBorder="1" applyAlignment="1">
      <alignment horizontal="left" vertical="center" wrapText="1"/>
    </xf>
    <xf numFmtId="0" fontId="0" fillId="0" borderId="37" xfId="0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10" fillId="33" borderId="46" xfId="0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left" wrapText="1"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10" fontId="4" fillId="33" borderId="10" xfId="0" applyNumberFormat="1" applyFont="1" applyFill="1" applyBorder="1" applyAlignment="1">
      <alignment horizontal="center" wrapText="1"/>
    </xf>
    <xf numFmtId="10" fontId="0" fillId="33" borderId="10" xfId="0" applyNumberFormat="1" applyFill="1" applyBorder="1" applyAlignment="1">
      <alignment wrapText="1"/>
    </xf>
    <xf numFmtId="0" fontId="4" fillId="0" borderId="20" xfId="0" applyFont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4" fillId="33" borderId="33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10" fontId="4" fillId="33" borderId="21" xfId="0" applyNumberFormat="1" applyFont="1" applyFill="1" applyBorder="1" applyAlignment="1">
      <alignment horizontal="center" wrapText="1"/>
    </xf>
    <xf numFmtId="10" fontId="0" fillId="33" borderId="21" xfId="0" applyNumberFormat="1" applyFill="1" applyBorder="1" applyAlignment="1">
      <alignment wrapText="1"/>
    </xf>
    <xf numFmtId="0" fontId="4" fillId="33" borderId="26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10" fontId="4" fillId="33" borderId="20" xfId="0" applyNumberFormat="1" applyFont="1" applyFill="1" applyBorder="1" applyAlignment="1">
      <alignment horizontal="center" wrapText="1"/>
    </xf>
    <xf numFmtId="10" fontId="0" fillId="33" borderId="20" xfId="0" applyNumberFormat="1" applyFill="1" applyBorder="1" applyAlignment="1">
      <alignment wrapText="1"/>
    </xf>
    <xf numFmtId="0" fontId="4" fillId="33" borderId="27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49" xfId="0" applyFont="1" applyFill="1" applyBorder="1" applyAlignment="1">
      <alignment horizontal="center" wrapText="1"/>
    </xf>
    <xf numFmtId="0" fontId="0" fillId="33" borderId="49" xfId="0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33" borderId="28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center" wrapText="1"/>
    </xf>
    <xf numFmtId="0" fontId="0" fillId="33" borderId="47" xfId="0" applyFill="1" applyBorder="1" applyAlignment="1">
      <alignment wrapText="1"/>
    </xf>
    <xf numFmtId="0" fontId="4" fillId="33" borderId="46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4" fillId="33" borderId="46" xfId="0" applyFont="1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0" borderId="23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wrapText="1"/>
    </xf>
    <xf numFmtId="0" fontId="2" fillId="33" borderId="55" xfId="0" applyFont="1" applyFill="1" applyBorder="1" applyAlignment="1">
      <alignment wrapText="1"/>
    </xf>
    <xf numFmtId="0" fontId="4" fillId="33" borderId="57" xfId="0" applyFont="1" applyFill="1" applyBorder="1" applyAlignment="1">
      <alignment horizontal="center" wrapText="1"/>
    </xf>
    <xf numFmtId="0" fontId="0" fillId="33" borderId="57" xfId="0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4" fillId="33" borderId="58" xfId="0" applyFont="1" applyFill="1" applyBorder="1" applyAlignment="1">
      <alignment horizontal="center" wrapText="1"/>
    </xf>
    <xf numFmtId="0" fontId="0" fillId="0" borderId="32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1">
      <selection activeCell="H6" sqref="H6:H7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5.00390625" style="0" customWidth="1"/>
    <col min="4" max="4" width="9.7109375" style="0" customWidth="1"/>
    <col min="5" max="5" width="7.00390625" style="0" customWidth="1"/>
    <col min="6" max="6" width="10.7109375" style="5" customWidth="1"/>
    <col min="7" max="7" width="10.28125" style="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2" max="12" width="12.00390625" style="0" bestFit="1" customWidth="1"/>
    <col min="13" max="13" width="9.421875" style="0" bestFit="1" customWidth="1"/>
  </cols>
  <sheetData>
    <row r="1" spans="1:10" s="10" customFormat="1" ht="11.25">
      <c r="A1" s="10" t="s">
        <v>125</v>
      </c>
      <c r="F1" s="6"/>
      <c r="G1" s="6"/>
      <c r="J1" s="10" t="s">
        <v>187</v>
      </c>
    </row>
    <row r="2" spans="6:8" s="10" customFormat="1" ht="11.25">
      <c r="F2" s="6"/>
      <c r="G2" s="6"/>
      <c r="H2" s="88" t="s">
        <v>124</v>
      </c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8" ht="15.75" thickBot="1">
      <c r="A5" s="7"/>
      <c r="B5" s="7"/>
      <c r="C5" s="7"/>
      <c r="D5" s="7"/>
      <c r="E5" s="7"/>
      <c r="F5" s="8"/>
      <c r="H5" s="10"/>
    </row>
    <row r="6" spans="1:11" ht="12.75" customHeight="1">
      <c r="A6" s="325" t="s">
        <v>8</v>
      </c>
      <c r="B6" s="309" t="s">
        <v>51</v>
      </c>
      <c r="C6" s="309" t="s">
        <v>52</v>
      </c>
      <c r="D6" s="309" t="s">
        <v>9</v>
      </c>
      <c r="E6" s="309" t="s">
        <v>10</v>
      </c>
      <c r="F6" s="309" t="s">
        <v>81</v>
      </c>
      <c r="G6" s="309" t="s">
        <v>11</v>
      </c>
      <c r="H6" s="309" t="s">
        <v>82</v>
      </c>
      <c r="I6" s="309"/>
      <c r="J6" s="320" t="s">
        <v>2</v>
      </c>
      <c r="K6" s="316"/>
    </row>
    <row r="7" spans="1:11" ht="13.5" thickBot="1">
      <c r="A7" s="326"/>
      <c r="B7" s="310"/>
      <c r="C7" s="310"/>
      <c r="D7" s="310"/>
      <c r="E7" s="310"/>
      <c r="F7" s="310"/>
      <c r="G7" s="310"/>
      <c r="H7" s="310"/>
      <c r="I7" s="310"/>
      <c r="J7" s="321"/>
      <c r="K7" s="322"/>
    </row>
    <row r="8" spans="1:11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21" customHeight="1" thickBot="1">
      <c r="A9" s="311" t="s">
        <v>45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/>
      <c r="D10" s="17"/>
      <c r="E10" s="18"/>
      <c r="F10" s="19"/>
      <c r="G10" s="19"/>
      <c r="H10" s="11"/>
      <c r="I10" s="12"/>
      <c r="J10" s="13"/>
      <c r="K10" s="20"/>
    </row>
    <row r="11" spans="1:11" s="14" customFormat="1" ht="13.5" customHeight="1">
      <c r="A11" s="288" t="s">
        <v>77</v>
      </c>
      <c r="B11" s="289"/>
      <c r="C11" s="289"/>
      <c r="D11" s="289"/>
      <c r="E11" s="289"/>
      <c r="F11" s="44">
        <f>(SFR!F11+'N01'!F11+'N02'!F11+'N03'!F11+'N04'!F11+'N06'!F11+'N07'!F11+'N08'!F11+'N09'!F11+'N18'!F11+'GARAŻE N01'!F11+'GARAŻE N02'!F11+'GARAŻE N04'!F11+'GARAŻE N06'!F11)</f>
        <v>2425119</v>
      </c>
      <c r="G11" s="44">
        <f>(SFR!G11+'N01'!G11+'N02'!G11+'N03'!G11+'N04'!G11+'N06'!G11+'N07'!G11+'N08'!G11+'N09'!G11+'N18'!G11+'GARAŻE N01'!G11+'GARAŻE N02'!G11+'GARAŻE N04'!G11+'GARAŻE N06'!G11)</f>
        <v>2413819.29</v>
      </c>
      <c r="H11" s="314" t="s">
        <v>89</v>
      </c>
      <c r="I11" s="315"/>
      <c r="J11" s="315"/>
      <c r="K11" s="316"/>
    </row>
    <row r="12" spans="1:11" s="14" customFormat="1" ht="13.5" customHeight="1">
      <c r="A12" s="298" t="s">
        <v>78</v>
      </c>
      <c r="B12" s="299"/>
      <c r="C12" s="299"/>
      <c r="D12" s="299"/>
      <c r="E12" s="299"/>
      <c r="F12" s="105">
        <f>(SFR!F13+'N01'!F12+'N02'!F12+'N03'!F12+'N04'!F12+'N06'!F12+'N07'!F12+'N08'!F12+'N09'!F12+'N18'!F12+'GARAŻE N01'!F12+'GARAŻE N02'!F12+'GARAŻE N04'!F12+'GARAŻE N06'!F12)</f>
        <v>2867404.0000000005</v>
      </c>
      <c r="G12" s="226">
        <f>(SFR!G13+'N01'!G12+'N02'!G12+'N03'!G12+'N04'!G12+'N06'!G12+'N07'!G12+'N08'!G12+'N09'!G12+'N18'!G12+'GARAŻE N01'!G12+'GARAŻE N02'!G12+'GARAŻE N04'!G12+'GARAŻE N06'!G12)</f>
        <v>2882107.11</v>
      </c>
      <c r="H12" s="317"/>
      <c r="I12" s="318"/>
      <c r="J12" s="318"/>
      <c r="K12" s="319"/>
    </row>
    <row r="13" spans="1:11" s="40" customFormat="1" ht="12.75" customHeight="1">
      <c r="A13" s="300" t="s">
        <v>75</v>
      </c>
      <c r="B13" s="301"/>
      <c r="C13" s="301"/>
      <c r="D13" s="301"/>
      <c r="E13" s="301"/>
      <c r="F13" s="41"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76</v>
      </c>
      <c r="B14" s="301"/>
      <c r="C14" s="301"/>
      <c r="D14" s="301"/>
      <c r="E14" s="301"/>
      <c r="F14" s="41">
        <f>(SFR!F14+'N01'!F14+'N02'!F14+'N03'!F14+'N04'!F14+'N06'!F14+'N07'!F14+'N08'!F14+'N09'!F14+'N18'!F14+'GARAŻE N01'!F14+'GARAŻE N02'!F14+'GARAŻE N04'!F14+'GARAŻE N06'!F14)</f>
        <v>0</v>
      </c>
      <c r="G14" s="41">
        <f>(SFR!G14+'N01'!G14+'N02'!G14+'N03'!G14+'N04'!G14+'N06'!G14+'N07'!G14+'N08'!G14+'N09'!G14+'N18'!G14+'GARAŻE N01'!G14+'GARAŻE N02'!G14+'GARAŻE N04'!G14+'GARAŻE N06'!G14)</f>
        <v>0</v>
      </c>
      <c r="H14" s="306"/>
      <c r="I14" s="307"/>
      <c r="J14" s="307"/>
      <c r="K14" s="308"/>
    </row>
    <row r="15" spans="1:11" s="14" customFormat="1" ht="13.5" customHeight="1">
      <c r="A15" s="298" t="s">
        <v>123</v>
      </c>
      <c r="B15" s="299"/>
      <c r="C15" s="299"/>
      <c r="D15" s="299"/>
      <c r="E15" s="299"/>
      <c r="F15" s="227">
        <f>(SFR!F15+'N01'!F15+'N02'!F15+'N03'!F15+'N04'!F15+'N06'!F15+'N07'!F15+'N08'!F15+'N09'!F15+'N18'!F15+'GARAŻE N01'!F15+'GARAŻE N02'!F15+'GARAŻE N04'!F15+'GARAŻE N06'!F15)</f>
        <v>0</v>
      </c>
      <c r="G15" s="227">
        <f>(SFR!G15+'N01'!G15+'N02'!G15+'N03'!G15+'N04'!G15+'N06'!G15+'N07'!G15+'N08'!G15+'N09'!G15+'N18'!G15+'GARAŻE N01'!G15+'GARAŻE N02'!G15+'GARAŻE N04'!G15+'GARAŻE N06'!G15)</f>
        <v>0</v>
      </c>
      <c r="H15" s="304"/>
      <c r="I15" s="303"/>
      <c r="J15" s="303"/>
      <c r="K15" s="305"/>
    </row>
    <row r="16" spans="1:11" s="39" customFormat="1" ht="12.75" customHeight="1" thickBot="1">
      <c r="A16" s="292" t="s">
        <v>31</v>
      </c>
      <c r="B16" s="293"/>
      <c r="C16" s="293"/>
      <c r="D16" s="293"/>
      <c r="E16" s="293"/>
      <c r="F16" s="45">
        <f>F11+F12+F13+F14+F15</f>
        <v>5292523</v>
      </c>
      <c r="G16" s="45">
        <f>G11+G12+G13+G14+G15</f>
        <v>5295926.4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8"/>
      <c r="H17" s="59"/>
      <c r="I17" s="62"/>
      <c r="J17" s="62"/>
      <c r="K17" s="60"/>
    </row>
    <row r="18" spans="1:11" ht="12.75">
      <c r="A18" s="66" t="s">
        <v>25</v>
      </c>
      <c r="B18" s="109" t="s">
        <v>67</v>
      </c>
      <c r="C18" s="108" t="s">
        <v>68</v>
      </c>
      <c r="D18" s="68"/>
      <c r="E18" s="67"/>
      <c r="F18" s="44">
        <f>SFR!F36</f>
        <v>200000</v>
      </c>
      <c r="G18" s="44">
        <f>SFR!G36</f>
        <v>283087.19</v>
      </c>
      <c r="H18" s="208">
        <f aca="true" t="shared" si="0" ref="H18:H31">G18/F18</f>
        <v>1.41543595</v>
      </c>
      <c r="I18" s="67"/>
      <c r="J18" s="282"/>
      <c r="K18" s="283"/>
    </row>
    <row r="19" spans="1:11" ht="12.75">
      <c r="A19" s="69" t="s">
        <v>20</v>
      </c>
      <c r="B19" s="65" t="s">
        <v>50</v>
      </c>
      <c r="C19" s="51" t="s">
        <v>55</v>
      </c>
      <c r="D19" s="65"/>
      <c r="E19" s="51"/>
      <c r="F19" s="41">
        <f>'N01'!F36</f>
        <v>395100</v>
      </c>
      <c r="G19" s="41">
        <f>'N01'!G36</f>
        <v>606926.66</v>
      </c>
      <c r="H19" s="209">
        <f t="shared" si="0"/>
        <v>1.5361342951151609</v>
      </c>
      <c r="I19" s="51"/>
      <c r="J19" s="270"/>
      <c r="K19" s="271"/>
    </row>
    <row r="20" spans="1:11" ht="12.75">
      <c r="A20" s="69" t="s">
        <v>21</v>
      </c>
      <c r="B20" s="65" t="s">
        <v>50</v>
      </c>
      <c r="C20" s="51" t="s">
        <v>54</v>
      </c>
      <c r="D20" s="65"/>
      <c r="E20" s="51"/>
      <c r="F20" s="41">
        <f>'N02'!F36</f>
        <v>250000</v>
      </c>
      <c r="G20" s="41">
        <f>'N02'!G36</f>
        <v>232369.28</v>
      </c>
      <c r="H20" s="209">
        <f t="shared" si="0"/>
        <v>0.92947712</v>
      </c>
      <c r="I20" s="51"/>
      <c r="J20" s="270"/>
      <c r="K20" s="271"/>
    </row>
    <row r="21" spans="1:11" ht="12.75">
      <c r="A21" s="69" t="s">
        <v>23</v>
      </c>
      <c r="B21" s="65" t="s">
        <v>50</v>
      </c>
      <c r="C21" s="51" t="s">
        <v>16</v>
      </c>
      <c r="D21" s="65"/>
      <c r="E21" s="51"/>
      <c r="F21" s="41">
        <f>'N03'!F36</f>
        <v>200000</v>
      </c>
      <c r="G21" s="41">
        <f>'N03'!G36</f>
        <v>245500.55</v>
      </c>
      <c r="H21" s="209">
        <f t="shared" si="0"/>
        <v>1.22750275</v>
      </c>
      <c r="I21" s="51"/>
      <c r="J21" s="270"/>
      <c r="K21" s="271"/>
    </row>
    <row r="22" spans="1:11" ht="12.75">
      <c r="A22" s="69" t="s">
        <v>22</v>
      </c>
      <c r="B22" s="65" t="s">
        <v>50</v>
      </c>
      <c r="C22" s="51" t="s">
        <v>53</v>
      </c>
      <c r="D22" s="65"/>
      <c r="E22" s="51"/>
      <c r="F22" s="41">
        <f>'N04'!F36</f>
        <v>850000</v>
      </c>
      <c r="G22" s="41">
        <f>'N04'!G36</f>
        <v>866832.7200000002</v>
      </c>
      <c r="H22" s="209">
        <f t="shared" si="0"/>
        <v>1.0198032000000001</v>
      </c>
      <c r="I22" s="51"/>
      <c r="J22" s="270"/>
      <c r="K22" s="271"/>
    </row>
    <row r="23" spans="1:11" ht="12.75">
      <c r="A23" s="69" t="s">
        <v>46</v>
      </c>
      <c r="B23" s="65" t="s">
        <v>50</v>
      </c>
      <c r="C23" s="51" t="s">
        <v>58</v>
      </c>
      <c r="D23" s="65"/>
      <c r="E23" s="51"/>
      <c r="F23" s="41">
        <f>'N06'!F36</f>
        <v>200000</v>
      </c>
      <c r="G23" s="41">
        <f>'N06'!G36</f>
        <v>325156.38999999996</v>
      </c>
      <c r="H23" s="209">
        <f t="shared" si="0"/>
        <v>1.6257819499999997</v>
      </c>
      <c r="I23" s="51"/>
      <c r="J23" s="270"/>
      <c r="K23" s="271"/>
    </row>
    <row r="24" spans="1:11" ht="12.75">
      <c r="A24" s="69" t="s">
        <v>47</v>
      </c>
      <c r="B24" s="65" t="s">
        <v>50</v>
      </c>
      <c r="C24" s="51" t="s">
        <v>19</v>
      </c>
      <c r="D24" s="65"/>
      <c r="E24" s="51"/>
      <c r="F24" s="41">
        <f>'N07'!F36</f>
        <v>250000</v>
      </c>
      <c r="G24" s="41">
        <f>'N07'!G36</f>
        <v>250984.57</v>
      </c>
      <c r="H24" s="209">
        <f t="shared" si="0"/>
        <v>1.00393828</v>
      </c>
      <c r="I24" s="51"/>
      <c r="J24" s="270"/>
      <c r="K24" s="271"/>
    </row>
    <row r="25" spans="1:11" ht="12.75">
      <c r="A25" s="69" t="s">
        <v>26</v>
      </c>
      <c r="B25" s="65" t="s">
        <v>50</v>
      </c>
      <c r="C25" s="22" t="s">
        <v>56</v>
      </c>
      <c r="D25" s="65"/>
      <c r="E25" s="51"/>
      <c r="F25" s="41">
        <f>'N08'!F36</f>
        <v>756200</v>
      </c>
      <c r="G25" s="41">
        <f>'N08'!G36</f>
        <v>807499.4400000001</v>
      </c>
      <c r="H25" s="209">
        <f t="shared" si="0"/>
        <v>1.0678384554350702</v>
      </c>
      <c r="I25" s="51"/>
      <c r="J25" s="270"/>
      <c r="K25" s="271"/>
    </row>
    <row r="26" spans="1:11" ht="12.75">
      <c r="A26" s="69" t="s">
        <v>48</v>
      </c>
      <c r="B26" s="65" t="s">
        <v>50</v>
      </c>
      <c r="C26" s="22" t="s">
        <v>57</v>
      </c>
      <c r="D26" s="65"/>
      <c r="E26" s="51"/>
      <c r="F26" s="41">
        <f>'N09'!F36</f>
        <v>210000</v>
      </c>
      <c r="G26" s="41">
        <f>'N09'!G36</f>
        <v>331027.11</v>
      </c>
      <c r="H26" s="209">
        <f t="shared" si="0"/>
        <v>1.5763195714285714</v>
      </c>
      <c r="I26" s="51"/>
      <c r="J26" s="270"/>
      <c r="K26" s="271"/>
    </row>
    <row r="27" spans="1:11" ht="12.75">
      <c r="A27" s="69" t="s">
        <v>27</v>
      </c>
      <c r="B27" s="110" t="s">
        <v>50</v>
      </c>
      <c r="C27" s="51" t="s">
        <v>17</v>
      </c>
      <c r="D27" s="65"/>
      <c r="E27" s="51"/>
      <c r="F27" s="41">
        <f>'N18'!F36</f>
        <v>299200</v>
      </c>
      <c r="G27" s="41">
        <f>'N18'!G36</f>
        <v>178443.46</v>
      </c>
      <c r="H27" s="209">
        <f t="shared" si="0"/>
        <v>0.5964019385026738</v>
      </c>
      <c r="I27" s="51"/>
      <c r="J27" s="270"/>
      <c r="K27" s="271"/>
    </row>
    <row r="28" spans="1:11" ht="12.75">
      <c r="A28" s="69" t="s">
        <v>20</v>
      </c>
      <c r="B28" s="65" t="s">
        <v>49</v>
      </c>
      <c r="C28" s="51" t="s">
        <v>69</v>
      </c>
      <c r="D28" s="65"/>
      <c r="E28" s="51"/>
      <c r="F28" s="41">
        <f>'GARAŻE N01'!F36</f>
        <v>5000</v>
      </c>
      <c r="G28" s="41">
        <f>'GARAŻE N01'!G36</f>
        <v>0</v>
      </c>
      <c r="H28" s="209">
        <f t="shared" si="0"/>
        <v>0</v>
      </c>
      <c r="I28" s="51"/>
      <c r="J28" s="270"/>
      <c r="K28" s="271"/>
    </row>
    <row r="29" spans="1:11" ht="12.75">
      <c r="A29" s="69" t="s">
        <v>21</v>
      </c>
      <c r="B29" s="65" t="s">
        <v>49</v>
      </c>
      <c r="C29" s="51" t="s">
        <v>59</v>
      </c>
      <c r="D29" s="65"/>
      <c r="E29" s="51"/>
      <c r="F29" s="41">
        <f>'GARAŻE N02'!F36</f>
        <v>10000</v>
      </c>
      <c r="G29" s="41">
        <f>'GARAŻE N02'!G36</f>
        <v>0</v>
      </c>
      <c r="H29" s="209">
        <f t="shared" si="0"/>
        <v>0</v>
      </c>
      <c r="I29" s="51"/>
      <c r="J29" s="270"/>
      <c r="K29" s="271"/>
    </row>
    <row r="30" spans="1:11" ht="12.75">
      <c r="A30" s="69" t="s">
        <v>22</v>
      </c>
      <c r="B30" s="65" t="s">
        <v>49</v>
      </c>
      <c r="C30" s="51" t="s">
        <v>70</v>
      </c>
      <c r="D30" s="65"/>
      <c r="E30" s="51"/>
      <c r="F30" s="41">
        <f>'GARAŻE N04'!F36</f>
        <v>25000</v>
      </c>
      <c r="G30" s="41">
        <f>'GARAŻE N04'!G36</f>
        <v>17000</v>
      </c>
      <c r="H30" s="209">
        <f t="shared" si="0"/>
        <v>0.68</v>
      </c>
      <c r="I30" s="51"/>
      <c r="J30" s="270"/>
      <c r="K30" s="271"/>
    </row>
    <row r="31" spans="1:12" ht="12.75">
      <c r="A31" s="69" t="s">
        <v>46</v>
      </c>
      <c r="B31" s="65" t="s">
        <v>49</v>
      </c>
      <c r="C31" s="51" t="s">
        <v>58</v>
      </c>
      <c r="D31" s="65"/>
      <c r="E31" s="51"/>
      <c r="F31" s="41">
        <f>'GARAŻE N06'!F36</f>
        <v>140000</v>
      </c>
      <c r="G31" s="41">
        <f>'GARAŻE N06'!G36</f>
        <v>47417.03</v>
      </c>
      <c r="H31" s="209">
        <f t="shared" si="0"/>
        <v>0.3386930714285714</v>
      </c>
      <c r="I31" s="51"/>
      <c r="J31" s="270"/>
      <c r="K31" s="271"/>
      <c r="L31" s="174"/>
    </row>
    <row r="32" spans="1:11" ht="12.75">
      <c r="A32" s="69"/>
      <c r="B32" s="65"/>
      <c r="C32" s="51"/>
      <c r="D32" s="65"/>
      <c r="E32" s="51"/>
      <c r="F32" s="41"/>
      <c r="G32" s="41"/>
      <c r="H32" s="209"/>
      <c r="I32" s="51"/>
      <c r="J32" s="270"/>
      <c r="K32" s="271"/>
    </row>
    <row r="33" spans="1:11" ht="12.75">
      <c r="A33" s="69"/>
      <c r="B33" s="65"/>
      <c r="C33" s="51"/>
      <c r="D33" s="65"/>
      <c r="E33" s="51"/>
      <c r="F33" s="41"/>
      <c r="G33" s="41"/>
      <c r="H33" s="209"/>
      <c r="I33" s="51"/>
      <c r="J33" s="270"/>
      <c r="K33" s="271"/>
    </row>
    <row r="34" spans="1:11" ht="12.75">
      <c r="A34" s="69"/>
      <c r="B34" s="65"/>
      <c r="C34" s="51"/>
      <c r="D34" s="65"/>
      <c r="E34" s="51"/>
      <c r="F34" s="41"/>
      <c r="G34" s="41"/>
      <c r="H34" s="209"/>
      <c r="I34" s="51"/>
      <c r="J34" s="270"/>
      <c r="K34" s="271"/>
    </row>
    <row r="35" spans="1:11" ht="12.75">
      <c r="A35" s="69"/>
      <c r="B35" s="65"/>
      <c r="C35" s="51"/>
      <c r="D35" s="65"/>
      <c r="E35" s="51"/>
      <c r="F35" s="41"/>
      <c r="G35" s="41"/>
      <c r="H35" s="209"/>
      <c r="I35" s="51"/>
      <c r="J35" s="270"/>
      <c r="K35" s="271"/>
    </row>
    <row r="36" spans="1:11" ht="12.75">
      <c r="A36" s="118"/>
      <c r="B36" s="112"/>
      <c r="C36" s="52"/>
      <c r="D36" s="112"/>
      <c r="E36" s="52"/>
      <c r="F36" s="105"/>
      <c r="G36" s="105"/>
      <c r="H36" s="209"/>
      <c r="I36" s="52"/>
      <c r="J36" s="274"/>
      <c r="K36" s="275"/>
    </row>
    <row r="37" spans="1:11" ht="13.5" thickBot="1">
      <c r="A37" s="70"/>
      <c r="B37" s="72"/>
      <c r="C37" s="71"/>
      <c r="D37" s="72"/>
      <c r="E37" s="71"/>
      <c r="F37" s="45"/>
      <c r="G37" s="45"/>
      <c r="H37" s="210"/>
      <c r="I37" s="71"/>
      <c r="J37" s="272"/>
      <c r="K37" s="273"/>
    </row>
    <row r="38" spans="1:11" ht="13.5" thickBot="1">
      <c r="A38" s="74"/>
      <c r="B38" s="75"/>
      <c r="C38" s="43"/>
      <c r="D38" s="76"/>
      <c r="E38" s="21"/>
      <c r="F38" s="73"/>
      <c r="G38" s="36"/>
      <c r="H38" s="21"/>
      <c r="I38" s="21"/>
      <c r="J38" s="76"/>
      <c r="K38" s="47"/>
    </row>
    <row r="39" spans="1:11" s="14" customFormat="1" ht="13.5" customHeight="1">
      <c r="A39" s="288" t="s">
        <v>30</v>
      </c>
      <c r="B39" s="289"/>
      <c r="C39" s="289"/>
      <c r="D39" s="289"/>
      <c r="E39" s="289"/>
      <c r="F39" s="228">
        <f>(SFR!F36+'N01'!F36+'N02'!F36+'N03'!F36+'N04'!F36+'N06'!F36+'N07'!F36+'N08'!F36+'N09'!F36+'N18'!F36+'GARAŻE N01'!F36+'GARAŻE N02'!F36+'GARAŻE N04'!F36+'GARAŻE N06'!F36)</f>
        <v>3790500</v>
      </c>
      <c r="G39" s="228">
        <f>(SFR!G36+'N01'!G36+'N02'!G36+'N03'!G36+'N04'!G36+'N06'!G36+'N07'!G36+'N08'!G36+'N09'!G36+'N18'!G36+'GARAŻE N01'!G36+'GARAŻE N02'!G36+'GARAŻE N04'!G36+'GARAŻE N06'!G36)</f>
        <v>4192244.4</v>
      </c>
      <c r="H39" s="290">
        <f>G39/F39</f>
        <v>1.105987178472497</v>
      </c>
      <c r="I39" s="291"/>
      <c r="J39" s="291"/>
      <c r="K39" s="87"/>
    </row>
    <row r="40" spans="1:11" s="14" customFormat="1" ht="13.5" customHeight="1">
      <c r="A40" s="104"/>
      <c r="B40" s="276" t="s">
        <v>4</v>
      </c>
      <c r="C40" s="277"/>
      <c r="D40" s="278"/>
      <c r="E40" s="279"/>
      <c r="F40" s="41">
        <f>(SFR!F37+'N01'!F37+'N02'!F37+'N03'!F37+'N04'!F37+'N06'!F37+'N07'!F37+'N08'!F37+'N09'!F37+'N18'!F37+'GARAŻE N01'!F37+'GARAŻE N02'!F37+'GARAŻE N04'!F37+'GARAŻE N06'!F37)</f>
        <v>470000</v>
      </c>
      <c r="G40" s="41">
        <f>(SFR!G37+'N01'!G37+'N02'!G37+'N03'!G37+'N04'!G37+'N06'!G37+'N07'!G37+'N08'!G37+'N09'!G37+'N18'!G37+'GARAŻE N01'!G37+'GARAŻE N02'!G37+'GARAŻE N04'!G37+'GARAŻE N06'!G37)</f>
        <v>4327.61</v>
      </c>
      <c r="H40" s="280">
        <f>G40/F40</f>
        <v>0.00920768085106383</v>
      </c>
      <c r="I40" s="281"/>
      <c r="J40" s="281"/>
      <c r="K40" s="55"/>
    </row>
    <row r="41" spans="1:11" s="14" customFormat="1" ht="13.5" customHeight="1">
      <c r="A41" s="104"/>
      <c r="B41" s="296" t="s">
        <v>3</v>
      </c>
      <c r="C41" s="296"/>
      <c r="D41" s="297"/>
      <c r="E41" s="297"/>
      <c r="F41" s="227">
        <f>(SFR!F38+'N01'!F38+'N02'!F38+'N03'!F38+'N04'!F38+'N06'!F38+'N07'!F38+'N08'!F38+'N09'!F38+'N18'!F38+'GARAŻE N01'!F38+'GARAŻE N02'!F38+'GARAŻE N04'!F38+'GARAŻE N06'!F38)</f>
        <v>3320500</v>
      </c>
      <c r="G41" s="227">
        <f>(SFR!G38+'N01'!G38+'N02'!G38+'N03'!G38+'N04'!G38+'N06'!G38+'N07'!G38+'N08'!G38+'N09'!G38+'N18'!G38+'GARAŻE N01'!G38+'GARAŻE N02'!G38+'GARAŻE N04'!G38+'GARAŻE N06'!G38)</f>
        <v>4187916.79</v>
      </c>
      <c r="H41" s="280">
        <f>G41/F41</f>
        <v>1.2612307754856196</v>
      </c>
      <c r="I41" s="281"/>
      <c r="J41" s="281"/>
      <c r="K41" s="35"/>
    </row>
    <row r="42" spans="1:11" s="14" customFormat="1" ht="13.5" customHeight="1" thickBot="1">
      <c r="A42" s="284" t="s">
        <v>79</v>
      </c>
      <c r="B42" s="285"/>
      <c r="C42" s="285"/>
      <c r="D42" s="285"/>
      <c r="E42" s="285"/>
      <c r="F42" s="46">
        <f>F16-F39</f>
        <v>1502023</v>
      </c>
      <c r="G42" s="46">
        <f>G16-G39</f>
        <v>1103682.0000000005</v>
      </c>
      <c r="H42" s="286">
        <f>G42/F42</f>
        <v>0.7347970037742434</v>
      </c>
      <c r="I42" s="287"/>
      <c r="J42" s="287"/>
      <c r="K42" s="54"/>
    </row>
    <row r="43" ht="12.75">
      <c r="K43" s="130"/>
    </row>
    <row r="44" spans="3:11" ht="12.75">
      <c r="C44" t="s">
        <v>65</v>
      </c>
      <c r="H44" s="174"/>
      <c r="K44" s="130" t="s">
        <v>162</v>
      </c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52"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9:K9"/>
    <mergeCell ref="A11:E11"/>
    <mergeCell ref="A12:E12"/>
    <mergeCell ref="H11:K12"/>
    <mergeCell ref="J6:K7"/>
    <mergeCell ref="A15:E15"/>
    <mergeCell ref="A13:E13"/>
    <mergeCell ref="H13:J13"/>
    <mergeCell ref="A14:E14"/>
    <mergeCell ref="H15:K15"/>
    <mergeCell ref="H14:K14"/>
    <mergeCell ref="A42:E42"/>
    <mergeCell ref="H42:J42"/>
    <mergeCell ref="A39:E39"/>
    <mergeCell ref="H39:J39"/>
    <mergeCell ref="A16:E16"/>
    <mergeCell ref="H16:J16"/>
    <mergeCell ref="H41:J41"/>
    <mergeCell ref="B41:E41"/>
    <mergeCell ref="J20:K20"/>
    <mergeCell ref="J27:K27"/>
    <mergeCell ref="B40:E40"/>
    <mergeCell ref="H40:J40"/>
    <mergeCell ref="J21:K21"/>
    <mergeCell ref="J19:K19"/>
    <mergeCell ref="J18:K18"/>
    <mergeCell ref="J28:K28"/>
    <mergeCell ref="J22:K22"/>
    <mergeCell ref="J26:K26"/>
    <mergeCell ref="J25:K25"/>
    <mergeCell ref="J24:K24"/>
    <mergeCell ref="J23:K23"/>
    <mergeCell ref="J34:K34"/>
    <mergeCell ref="J35:K35"/>
    <mergeCell ref="J29:K29"/>
    <mergeCell ref="J37:K37"/>
    <mergeCell ref="J30:K30"/>
    <mergeCell ref="J31:K31"/>
    <mergeCell ref="J32:K32"/>
    <mergeCell ref="J33:K33"/>
    <mergeCell ref="J36:K36"/>
  </mergeCells>
  <printOptions horizontalCentered="1"/>
  <pageMargins left="0" right="0" top="0" bottom="0" header="0" footer="0"/>
  <pageSetup horizontalDpi="600" verticalDpi="600" orientation="landscape" paperSize="9" scale="9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O11" sqref="O1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43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15</v>
      </c>
      <c r="D10" s="17">
        <v>3673.8</v>
      </c>
      <c r="E10" s="18" t="s">
        <v>5</v>
      </c>
      <c r="F10" s="19"/>
      <c r="G10" s="121"/>
      <c r="H10" s="11" t="s">
        <v>7</v>
      </c>
      <c r="I10" s="12">
        <v>1.6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v>171461.9</v>
      </c>
      <c r="G11" s="44">
        <v>171451.91</v>
      </c>
      <c r="H11" s="337"/>
      <c r="I11" s="334"/>
      <c r="J11" s="334"/>
      <c r="K11" s="338"/>
    </row>
    <row r="12" spans="1:11" s="14" customFormat="1" ht="13.5" customHeight="1">
      <c r="A12" s="298" t="s">
        <v>24</v>
      </c>
      <c r="B12" s="299"/>
      <c r="C12" s="299"/>
      <c r="D12" s="299"/>
      <c r="E12" s="299"/>
      <c r="F12" s="41">
        <v>70000</v>
      </c>
      <c r="G12" s="205">
        <f>34520.32+40282.88</f>
        <v>74803.2</v>
      </c>
      <c r="H12" s="302"/>
      <c r="I12" s="303"/>
      <c r="J12" s="303"/>
      <c r="K12" s="53"/>
    </row>
    <row r="13" spans="1:11" s="14" customFormat="1" ht="13.5" customHeight="1">
      <c r="A13" s="298" t="s">
        <v>28</v>
      </c>
      <c r="B13" s="299"/>
      <c r="C13" s="299"/>
      <c r="D13" s="299"/>
      <c r="E13" s="299"/>
      <c r="F13" s="41">
        <f>-(D10*12*0)</f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41">
        <v>0</v>
      </c>
      <c r="G14" s="41">
        <v>0</v>
      </c>
      <c r="H14" s="306"/>
      <c r="I14" s="307"/>
      <c r="J14" s="307"/>
      <c r="K14" s="308"/>
    </row>
    <row r="15" spans="1:11" s="14" customFormat="1" ht="13.5" customHeight="1">
      <c r="A15" s="298" t="s">
        <v>63</v>
      </c>
      <c r="B15" s="299"/>
      <c r="C15" s="299"/>
      <c r="D15" s="299"/>
      <c r="E15" s="299"/>
      <c r="F15" s="41">
        <v>0</v>
      </c>
      <c r="G15" s="41">
        <v>0</v>
      </c>
      <c r="H15" s="304"/>
      <c r="I15" s="303"/>
      <c r="J15" s="303"/>
      <c r="K15" s="305"/>
    </row>
    <row r="16" spans="1:11" s="39" customFormat="1" ht="12.75" customHeight="1" thickBot="1">
      <c r="A16" s="292" t="s">
        <v>72</v>
      </c>
      <c r="B16" s="293"/>
      <c r="C16" s="293"/>
      <c r="D16" s="293"/>
      <c r="E16" s="293"/>
      <c r="F16" s="45">
        <f>F11+F12+F13+F14+F15</f>
        <v>241461.9</v>
      </c>
      <c r="G16" s="45">
        <f>G11+G12+G13+G14+G15</f>
        <v>246255.11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07">
        <v>1</v>
      </c>
      <c r="B18" s="90" t="s">
        <v>116</v>
      </c>
      <c r="C18" s="90" t="s">
        <v>111</v>
      </c>
      <c r="D18" s="85" t="s">
        <v>117</v>
      </c>
      <c r="E18" s="85" t="s">
        <v>117</v>
      </c>
      <c r="F18" s="91">
        <v>170000</v>
      </c>
      <c r="G18" s="264">
        <v>303825.98</v>
      </c>
      <c r="H18" s="109"/>
      <c r="I18" s="85" t="s">
        <v>189</v>
      </c>
      <c r="J18" s="211" t="s">
        <v>3</v>
      </c>
      <c r="K18" s="86"/>
    </row>
    <row r="19" spans="1:11" ht="12.75">
      <c r="A19" s="29">
        <v>2</v>
      </c>
      <c r="B19" s="22" t="s">
        <v>109</v>
      </c>
      <c r="C19" s="22" t="s">
        <v>18</v>
      </c>
      <c r="D19" s="2"/>
      <c r="E19" s="2"/>
      <c r="F19" s="3">
        <v>40000</v>
      </c>
      <c r="G19" s="175"/>
      <c r="H19" s="65"/>
      <c r="I19" s="2"/>
      <c r="J19" s="217" t="s">
        <v>4</v>
      </c>
      <c r="K19" s="200"/>
    </row>
    <row r="20" spans="1:11" ht="12.75">
      <c r="A20" s="29">
        <v>3</v>
      </c>
      <c r="B20" s="143" t="s">
        <v>109</v>
      </c>
      <c r="C20" s="143" t="s">
        <v>195</v>
      </c>
      <c r="D20" s="140"/>
      <c r="E20" s="140"/>
      <c r="F20" s="137"/>
      <c r="G20" s="254">
        <f>974.09+1136.36</f>
        <v>2110.45</v>
      </c>
      <c r="H20" s="140"/>
      <c r="I20" s="140">
        <v>2022</v>
      </c>
      <c r="J20" s="140" t="s">
        <v>3</v>
      </c>
      <c r="K20" s="169"/>
    </row>
    <row r="21" spans="1:11" ht="12.75">
      <c r="A21" s="29">
        <v>4</v>
      </c>
      <c r="B21" s="143" t="s">
        <v>109</v>
      </c>
      <c r="C21" s="143" t="s">
        <v>155</v>
      </c>
      <c r="D21" s="88"/>
      <c r="E21" s="88"/>
      <c r="F21" s="153"/>
      <c r="G21" s="256">
        <f>387.62+452.2</f>
        <v>839.8199999999999</v>
      </c>
      <c r="H21" s="164"/>
      <c r="I21" s="88">
        <v>2022</v>
      </c>
      <c r="J21" s="221" t="s">
        <v>4</v>
      </c>
      <c r="K21" s="169"/>
    </row>
    <row r="22" spans="1:11" ht="12.75">
      <c r="A22" s="29">
        <v>5</v>
      </c>
      <c r="B22" s="143" t="s">
        <v>109</v>
      </c>
      <c r="C22" s="143" t="s">
        <v>144</v>
      </c>
      <c r="D22" s="140"/>
      <c r="E22" s="140"/>
      <c r="F22" s="137"/>
      <c r="G22" s="254">
        <f>9887.38+11534.48</f>
        <v>21421.86</v>
      </c>
      <c r="H22" s="140"/>
      <c r="I22" s="140" t="s">
        <v>177</v>
      </c>
      <c r="J22" s="140" t="s">
        <v>3</v>
      </c>
      <c r="K22" s="169"/>
    </row>
    <row r="23" spans="1:11" ht="12.75">
      <c r="A23" s="29">
        <v>6</v>
      </c>
      <c r="B23" s="143" t="s">
        <v>109</v>
      </c>
      <c r="C23" s="162" t="s">
        <v>185</v>
      </c>
      <c r="D23" s="140"/>
      <c r="E23" s="140"/>
      <c r="F23" s="137"/>
      <c r="G23" s="254">
        <f>1305.74+1523.26</f>
        <v>2829</v>
      </c>
      <c r="H23" s="140"/>
      <c r="I23" s="140" t="s">
        <v>177</v>
      </c>
      <c r="J23" s="140" t="s">
        <v>3</v>
      </c>
      <c r="K23" s="169"/>
    </row>
    <row r="24" spans="1:11" ht="12.75">
      <c r="A24" s="28">
        <v>7</v>
      </c>
      <c r="B24" s="162"/>
      <c r="C24" s="136"/>
      <c r="D24" s="144"/>
      <c r="E24" s="88"/>
      <c r="F24" s="145"/>
      <c r="G24" s="256"/>
      <c r="H24" s="140"/>
      <c r="I24" s="140"/>
      <c r="J24" s="144"/>
      <c r="K24" s="170"/>
    </row>
    <row r="25" spans="1:11" ht="12.75">
      <c r="A25" s="28">
        <v>8</v>
      </c>
      <c r="B25" s="138"/>
      <c r="C25" s="159"/>
      <c r="D25" s="139"/>
      <c r="E25" s="140"/>
      <c r="F25" s="141"/>
      <c r="G25" s="176"/>
      <c r="H25" s="140"/>
      <c r="I25" s="140"/>
      <c r="J25" s="144"/>
      <c r="K25" s="170"/>
    </row>
    <row r="26" spans="1:11" ht="12.75">
      <c r="A26" s="28">
        <v>9</v>
      </c>
      <c r="B26" s="138"/>
      <c r="C26" s="159"/>
      <c r="D26" s="139"/>
      <c r="E26" s="140"/>
      <c r="F26" s="141"/>
      <c r="G26" s="137"/>
      <c r="H26" s="140"/>
      <c r="I26" s="140"/>
      <c r="J26" s="139"/>
      <c r="K26" s="170"/>
    </row>
    <row r="27" spans="1:11" ht="12.75">
      <c r="A27" s="28">
        <v>10</v>
      </c>
      <c r="B27" s="138"/>
      <c r="C27" s="159"/>
      <c r="D27" s="139"/>
      <c r="E27" s="140"/>
      <c r="F27" s="141"/>
      <c r="G27" s="137"/>
      <c r="H27" s="140"/>
      <c r="I27" s="140"/>
      <c r="J27" s="139"/>
      <c r="K27" s="170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96">
        <v>17</v>
      </c>
      <c r="B34" s="97"/>
      <c r="C34" s="98"/>
      <c r="D34" s="99"/>
      <c r="E34" s="100"/>
      <c r="F34" s="101"/>
      <c r="G34" s="102"/>
      <c r="H34" s="100"/>
      <c r="I34" s="100"/>
      <c r="J34" s="99"/>
      <c r="K34" s="103"/>
    </row>
    <row r="35" spans="1:11" ht="13.5" thickBot="1">
      <c r="A35" s="74"/>
      <c r="B35" s="75"/>
      <c r="C35" s="43"/>
      <c r="D35" s="76"/>
      <c r="E35" s="21"/>
      <c r="F35" s="73"/>
      <c r="G35" s="36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210000</v>
      </c>
      <c r="G36" s="44">
        <f>SUM(G18:G34)</f>
        <v>331027.11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F19</f>
        <v>40000</v>
      </c>
      <c r="G37" s="42">
        <f>G21</f>
        <v>839.8199999999999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170000</v>
      </c>
      <c r="G38" s="42">
        <f>G36-G37</f>
        <v>330187.29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31461.899999999994</v>
      </c>
      <c r="G39" s="46">
        <f>G16-G36</f>
        <v>-84772</v>
      </c>
      <c r="H39" s="294"/>
      <c r="I39" s="295"/>
      <c r="J39" s="29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0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0" t="s">
        <v>171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A15:E15"/>
    <mergeCell ref="A14:E14"/>
    <mergeCell ref="H15:K15"/>
    <mergeCell ref="H14:K1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3">
      <selection activeCell="H19" sqref="H19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44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15</v>
      </c>
      <c r="D10" s="17">
        <v>5630.5</v>
      </c>
      <c r="E10" s="18" t="s">
        <v>5</v>
      </c>
      <c r="F10" s="19"/>
      <c r="G10" s="121"/>
      <c r="H10" s="11" t="s">
        <v>7</v>
      </c>
      <c r="I10" s="12">
        <v>2.3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v>169803.89</v>
      </c>
      <c r="G11" s="44">
        <v>169803.89</v>
      </c>
      <c r="H11" s="337"/>
      <c r="I11" s="334"/>
      <c r="J11" s="334"/>
      <c r="K11" s="338"/>
    </row>
    <row r="12" spans="1:11" s="14" customFormat="1" ht="13.5" customHeight="1">
      <c r="A12" s="298" t="s">
        <v>24</v>
      </c>
      <c r="B12" s="299"/>
      <c r="C12" s="299"/>
      <c r="D12" s="299"/>
      <c r="E12" s="299"/>
      <c r="F12" s="41">
        <v>170000</v>
      </c>
      <c r="G12" s="205">
        <v>155401.8</v>
      </c>
      <c r="H12" s="302"/>
      <c r="I12" s="303"/>
      <c r="J12" s="303"/>
      <c r="K12" s="53"/>
    </row>
    <row r="13" spans="1:11" s="14" customFormat="1" ht="13.5" customHeight="1">
      <c r="A13" s="298" t="s">
        <v>28</v>
      </c>
      <c r="B13" s="299"/>
      <c r="C13" s="299"/>
      <c r="D13" s="299"/>
      <c r="E13" s="299"/>
      <c r="F13" s="41">
        <f>-(D10*12*0)</f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41">
        <v>0</v>
      </c>
      <c r="G14" s="41">
        <v>0</v>
      </c>
      <c r="H14" s="306"/>
      <c r="I14" s="307"/>
      <c r="J14" s="307"/>
      <c r="K14" s="308"/>
    </row>
    <row r="15" spans="1:11" s="14" customFormat="1" ht="13.5" customHeight="1">
      <c r="A15" s="298" t="s">
        <v>63</v>
      </c>
      <c r="B15" s="299"/>
      <c r="C15" s="299"/>
      <c r="D15" s="299"/>
      <c r="E15" s="299"/>
      <c r="F15" s="41">
        <v>0</v>
      </c>
      <c r="G15" s="41">
        <v>0</v>
      </c>
      <c r="H15" s="304"/>
      <c r="I15" s="303"/>
      <c r="J15" s="303"/>
      <c r="K15" s="305"/>
    </row>
    <row r="16" spans="1:11" s="39" customFormat="1" ht="12.75" customHeight="1" thickBot="1">
      <c r="A16" s="292" t="s">
        <v>72</v>
      </c>
      <c r="B16" s="293"/>
      <c r="C16" s="293"/>
      <c r="D16" s="293"/>
      <c r="E16" s="293"/>
      <c r="F16" s="45">
        <f>F11+F12+F13+F14+F15</f>
        <v>339803.89</v>
      </c>
      <c r="G16" s="45">
        <f>G11+G12+G13+G14+G15</f>
        <v>325205.69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9">
        <v>1</v>
      </c>
      <c r="B18" s="90" t="s">
        <v>17</v>
      </c>
      <c r="C18" s="90" t="s">
        <v>99</v>
      </c>
      <c r="D18" s="85"/>
      <c r="E18" s="85"/>
      <c r="F18" s="91">
        <v>200000</v>
      </c>
      <c r="G18" s="264">
        <v>173505.7</v>
      </c>
      <c r="H18" s="109"/>
      <c r="I18" s="85" t="s">
        <v>189</v>
      </c>
      <c r="J18" s="211" t="s">
        <v>3</v>
      </c>
      <c r="K18" s="232"/>
    </row>
    <row r="19" spans="1:11" ht="12.75">
      <c r="A19" s="23">
        <v>2</v>
      </c>
      <c r="B19" s="22" t="s">
        <v>17</v>
      </c>
      <c r="C19" s="22" t="s">
        <v>106</v>
      </c>
      <c r="D19" s="2">
        <v>692</v>
      </c>
      <c r="E19" s="2"/>
      <c r="F19" s="64">
        <f>D19*100</f>
        <v>69200</v>
      </c>
      <c r="G19" s="257"/>
      <c r="H19" s="65"/>
      <c r="I19" s="2"/>
      <c r="J19" s="217" t="s">
        <v>3</v>
      </c>
      <c r="K19" s="129" t="s">
        <v>205</v>
      </c>
    </row>
    <row r="20" spans="1:11" s="114" customFormat="1" ht="12.75">
      <c r="A20" s="111">
        <v>3</v>
      </c>
      <c r="B20" s="22" t="s">
        <v>17</v>
      </c>
      <c r="C20" s="22" t="s">
        <v>18</v>
      </c>
      <c r="D20" s="2"/>
      <c r="E20" s="2"/>
      <c r="F20" s="3">
        <v>30000</v>
      </c>
      <c r="G20" s="257"/>
      <c r="H20" s="65"/>
      <c r="I20" s="2"/>
      <c r="J20" s="217" t="s">
        <v>4</v>
      </c>
      <c r="K20" s="172"/>
    </row>
    <row r="21" spans="1:11" ht="12.75">
      <c r="A21" s="29">
        <v>4</v>
      </c>
      <c r="B21" s="162" t="s">
        <v>17</v>
      </c>
      <c r="C21" s="162" t="s">
        <v>135</v>
      </c>
      <c r="D21" s="88"/>
      <c r="E21" s="88"/>
      <c r="F21" s="153"/>
      <c r="G21" s="261">
        <f>2965.46</f>
        <v>2965.46</v>
      </c>
      <c r="H21" s="140"/>
      <c r="I21" s="88">
        <v>2022</v>
      </c>
      <c r="J21" s="88" t="s">
        <v>3</v>
      </c>
      <c r="K21" s="169"/>
    </row>
    <row r="22" spans="1:11" ht="12.75">
      <c r="A22" s="29">
        <v>5</v>
      </c>
      <c r="B22" s="162" t="s">
        <v>17</v>
      </c>
      <c r="C22" s="159" t="s">
        <v>140</v>
      </c>
      <c r="D22" s="140"/>
      <c r="E22" s="140"/>
      <c r="F22" s="137"/>
      <c r="G22" s="255">
        <v>1972.3</v>
      </c>
      <c r="H22" s="88"/>
      <c r="I22" s="164" t="s">
        <v>161</v>
      </c>
      <c r="J22" s="173" t="s">
        <v>3</v>
      </c>
      <c r="K22" s="169"/>
    </row>
    <row r="23" spans="1:11" ht="12.75">
      <c r="A23" s="29">
        <v>6</v>
      </c>
      <c r="B23" s="162"/>
      <c r="C23" s="162"/>
      <c r="D23" s="140"/>
      <c r="E23" s="140"/>
      <c r="F23" s="137"/>
      <c r="G23" s="255"/>
      <c r="H23" s="88"/>
      <c r="I23" s="140"/>
      <c r="J23" s="139"/>
      <c r="K23" s="169"/>
    </row>
    <row r="24" spans="1:11" ht="12.75">
      <c r="A24" s="28">
        <v>7</v>
      </c>
      <c r="B24" s="160"/>
      <c r="C24" s="136"/>
      <c r="D24" s="144"/>
      <c r="E24" s="88"/>
      <c r="F24" s="145"/>
      <c r="G24" s="177"/>
      <c r="H24" s="88"/>
      <c r="I24" s="88"/>
      <c r="J24" s="144"/>
      <c r="K24" s="170"/>
    </row>
    <row r="25" spans="1:11" ht="12.75">
      <c r="A25" s="28">
        <v>8</v>
      </c>
      <c r="B25" s="138"/>
      <c r="C25" s="159"/>
      <c r="D25" s="139"/>
      <c r="E25" s="140"/>
      <c r="F25" s="141"/>
      <c r="G25" s="141"/>
      <c r="H25" s="140"/>
      <c r="I25" s="140"/>
      <c r="J25" s="144"/>
      <c r="K25" s="170"/>
    </row>
    <row r="26" spans="1:11" ht="12.75">
      <c r="A26" s="28">
        <v>9</v>
      </c>
      <c r="B26" s="138"/>
      <c r="C26" s="159"/>
      <c r="D26" s="139"/>
      <c r="E26" s="140"/>
      <c r="F26" s="141"/>
      <c r="G26" s="141"/>
      <c r="H26" s="140"/>
      <c r="I26" s="140"/>
      <c r="J26" s="139"/>
      <c r="K26" s="170"/>
    </row>
    <row r="27" spans="1:11" ht="12.75">
      <c r="A27" s="28">
        <v>10</v>
      </c>
      <c r="B27" s="138"/>
      <c r="C27" s="159"/>
      <c r="D27" s="139"/>
      <c r="E27" s="140"/>
      <c r="F27" s="141"/>
      <c r="G27" s="141"/>
      <c r="H27" s="140"/>
      <c r="I27" s="140"/>
      <c r="J27" s="139"/>
      <c r="K27" s="170"/>
    </row>
    <row r="28" spans="1:11" ht="12.75">
      <c r="A28" s="28">
        <v>11</v>
      </c>
      <c r="B28" s="50"/>
      <c r="C28" s="52"/>
      <c r="D28" s="34"/>
      <c r="E28" s="4"/>
      <c r="F28" s="63"/>
      <c r="G28" s="63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63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63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63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63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64"/>
      <c r="H33" s="2"/>
      <c r="I33" s="2"/>
      <c r="J33" s="25"/>
      <c r="K33" s="24"/>
    </row>
    <row r="34" spans="1:11" ht="13.5" thickBot="1">
      <c r="A34" s="96">
        <v>17</v>
      </c>
      <c r="B34" s="97"/>
      <c r="C34" s="98"/>
      <c r="D34" s="99"/>
      <c r="E34" s="100"/>
      <c r="F34" s="101"/>
      <c r="G34" s="101"/>
      <c r="H34" s="100"/>
      <c r="I34" s="100"/>
      <c r="J34" s="99"/>
      <c r="K34" s="103"/>
    </row>
    <row r="35" spans="1:11" ht="13.5" thickBot="1">
      <c r="A35" s="74"/>
      <c r="B35" s="75"/>
      <c r="C35" s="43"/>
      <c r="D35" s="76"/>
      <c r="E35" s="21"/>
      <c r="F35" s="73"/>
      <c r="G35" s="36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299200</v>
      </c>
      <c r="G36" s="44">
        <f>SUM(G18:G34)</f>
        <v>178443.46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F20</f>
        <v>30000</v>
      </c>
      <c r="G37" s="42">
        <v>0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269200</v>
      </c>
      <c r="G38" s="42">
        <f>G36-G37</f>
        <v>178443.46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40603.890000000014</v>
      </c>
      <c r="G39" s="46">
        <f>G16-G36</f>
        <v>146762.23</v>
      </c>
      <c r="H39" s="294"/>
      <c r="I39" s="295"/>
      <c r="J39" s="29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0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0" t="s">
        <v>172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A15:E15"/>
    <mergeCell ref="A14:E14"/>
    <mergeCell ref="H15:K15"/>
    <mergeCell ref="H14:K1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2">
      <selection activeCell="G12" sqref="G1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60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34</v>
      </c>
      <c r="D10" s="17">
        <v>733.1</v>
      </c>
      <c r="E10" s="18" t="s">
        <v>5</v>
      </c>
      <c r="F10" s="19"/>
      <c r="G10" s="121"/>
      <c r="H10" s="11" t="s">
        <v>7</v>
      </c>
      <c r="I10" s="12">
        <v>1.7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v>-168.16</v>
      </c>
      <c r="G11" s="44">
        <v>-1167.06</v>
      </c>
      <c r="H11" s="333"/>
      <c r="I11" s="334"/>
      <c r="J11" s="334"/>
      <c r="K11" s="87"/>
    </row>
    <row r="12" spans="1:11" s="14" customFormat="1" ht="13.5" customHeight="1">
      <c r="A12" s="298" t="s">
        <v>24</v>
      </c>
      <c r="B12" s="299"/>
      <c r="C12" s="299"/>
      <c r="D12" s="299"/>
      <c r="E12" s="299"/>
      <c r="F12" s="41">
        <v>14171.22</v>
      </c>
      <c r="G12" s="205">
        <f>3867.84+2900.88+2295+2578.56+2578.56+387.6+734.4</f>
        <v>15342.84</v>
      </c>
      <c r="H12" s="302"/>
      <c r="I12" s="303"/>
      <c r="J12" s="303"/>
      <c r="K12" s="53"/>
    </row>
    <row r="13" spans="1:11" s="14" customFormat="1" ht="13.5" customHeight="1">
      <c r="A13" s="298" t="s">
        <v>28</v>
      </c>
      <c r="B13" s="299"/>
      <c r="C13" s="299"/>
      <c r="D13" s="299"/>
      <c r="E13" s="299"/>
      <c r="F13" s="41">
        <f>-(D10*12*0)</f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41">
        <v>0</v>
      </c>
      <c r="G14" s="41">
        <v>0</v>
      </c>
      <c r="H14" s="302"/>
      <c r="I14" s="303"/>
      <c r="J14" s="303"/>
      <c r="K14" s="53"/>
    </row>
    <row r="15" spans="1:11" s="14" customFormat="1" ht="13.5" customHeight="1">
      <c r="A15" s="298" t="s">
        <v>63</v>
      </c>
      <c r="B15" s="299"/>
      <c r="C15" s="299"/>
      <c r="D15" s="299"/>
      <c r="E15" s="299"/>
      <c r="F15" s="41">
        <v>0</v>
      </c>
      <c r="G15" s="41">
        <v>0</v>
      </c>
      <c r="H15" s="302"/>
      <c r="I15" s="303"/>
      <c r="J15" s="303"/>
      <c r="K15" s="53"/>
    </row>
    <row r="16" spans="1:11" s="39" customFormat="1" ht="12.75" customHeight="1" thickBot="1">
      <c r="A16" s="292" t="s">
        <v>72</v>
      </c>
      <c r="B16" s="293"/>
      <c r="C16" s="293"/>
      <c r="D16" s="293"/>
      <c r="E16" s="293"/>
      <c r="F16" s="45">
        <f>F11+F12+F13+F14+F15</f>
        <v>14003.06</v>
      </c>
      <c r="G16" s="45">
        <f>G11+G12+G13+G14+G15</f>
        <v>14175.78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0">
        <v>1</v>
      </c>
      <c r="B18" s="92" t="s">
        <v>20</v>
      </c>
      <c r="C18" s="81" t="s">
        <v>18</v>
      </c>
      <c r="D18" s="82"/>
      <c r="E18" s="83"/>
      <c r="F18" s="94">
        <v>5000</v>
      </c>
      <c r="G18" s="84"/>
      <c r="H18" s="82"/>
      <c r="I18" s="83"/>
      <c r="J18" s="218" t="s">
        <v>4</v>
      </c>
      <c r="K18" s="165"/>
    </row>
    <row r="19" spans="1:11" ht="12.75">
      <c r="A19" s="28">
        <v>2</v>
      </c>
      <c r="B19" s="160"/>
      <c r="C19" s="143"/>
      <c r="D19" s="144"/>
      <c r="E19" s="88"/>
      <c r="F19" s="163"/>
      <c r="G19" s="153"/>
      <c r="H19" s="144"/>
      <c r="I19" s="88"/>
      <c r="J19" s="221"/>
      <c r="K19" s="170"/>
    </row>
    <row r="20" spans="1:11" ht="12.75">
      <c r="A20" s="23">
        <v>3</v>
      </c>
      <c r="B20" s="203"/>
      <c r="C20" s="194"/>
      <c r="D20" s="25"/>
      <c r="E20" s="2"/>
      <c r="F20" s="26"/>
      <c r="G20" s="206"/>
      <c r="H20" s="198"/>
      <c r="I20" s="2"/>
      <c r="J20" s="25"/>
      <c r="K20" s="19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96">
        <v>17</v>
      </c>
      <c r="B34" s="97"/>
      <c r="C34" s="98"/>
      <c r="D34" s="99"/>
      <c r="E34" s="100"/>
      <c r="F34" s="101"/>
      <c r="G34" s="102"/>
      <c r="H34" s="100"/>
      <c r="I34" s="100"/>
      <c r="J34" s="99"/>
      <c r="K34" s="103"/>
    </row>
    <row r="35" spans="1:11" ht="13.5" thickBot="1">
      <c r="A35" s="74"/>
      <c r="B35" s="75"/>
      <c r="C35" s="43"/>
      <c r="D35" s="76"/>
      <c r="E35" s="21"/>
      <c r="F35" s="73"/>
      <c r="G35" s="36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5000</v>
      </c>
      <c r="G36" s="44">
        <f>SUM(G18:G34)</f>
        <v>0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F18</f>
        <v>5000</v>
      </c>
      <c r="G37" s="42">
        <v>0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0</v>
      </c>
      <c r="G38" s="42">
        <f>G36-G37</f>
        <v>0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9003.06</v>
      </c>
      <c r="G39" s="46">
        <f>G16-G36</f>
        <v>14175.78</v>
      </c>
      <c r="H39" s="294"/>
      <c r="I39" s="295"/>
      <c r="J39" s="29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0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0" t="s">
        <v>173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3">
      <selection activeCell="G12" sqref="G1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62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34</v>
      </c>
      <c r="D10" s="17">
        <v>225.1</v>
      </c>
      <c r="E10" s="18" t="s">
        <v>5</v>
      </c>
      <c r="F10" s="19"/>
      <c r="G10" s="121"/>
      <c r="H10" s="11" t="s">
        <v>7</v>
      </c>
      <c r="I10" s="12">
        <v>1.6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v>16837.29</v>
      </c>
      <c r="G11" s="44">
        <v>15837.29</v>
      </c>
      <c r="H11" s="333"/>
      <c r="I11" s="334"/>
      <c r="J11" s="334"/>
      <c r="K11" s="87"/>
    </row>
    <row r="12" spans="1:11" s="14" customFormat="1" ht="13.5" customHeight="1">
      <c r="A12" s="298" t="s">
        <v>24</v>
      </c>
      <c r="B12" s="299"/>
      <c r="C12" s="299"/>
      <c r="D12" s="299"/>
      <c r="E12" s="299"/>
      <c r="F12" s="41">
        <v>4088.91</v>
      </c>
      <c r="G12" s="205">
        <f>2467.2+1854.72</f>
        <v>4321.92</v>
      </c>
      <c r="H12" s="302"/>
      <c r="I12" s="303"/>
      <c r="J12" s="303"/>
      <c r="K12" s="53"/>
    </row>
    <row r="13" spans="1:11" s="14" customFormat="1" ht="13.5" customHeight="1">
      <c r="A13" s="298" t="s">
        <v>28</v>
      </c>
      <c r="B13" s="299"/>
      <c r="C13" s="299"/>
      <c r="D13" s="299"/>
      <c r="E13" s="299"/>
      <c r="F13" s="41">
        <f>-(D10*12*0)</f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41">
        <v>0</v>
      </c>
      <c r="G14" s="41">
        <v>0</v>
      </c>
      <c r="H14" s="302"/>
      <c r="I14" s="303"/>
      <c r="J14" s="303"/>
      <c r="K14" s="53"/>
    </row>
    <row r="15" spans="1:11" s="14" customFormat="1" ht="13.5" customHeight="1">
      <c r="A15" s="298" t="s">
        <v>63</v>
      </c>
      <c r="B15" s="299"/>
      <c r="C15" s="299"/>
      <c r="D15" s="299"/>
      <c r="E15" s="299"/>
      <c r="F15" s="41">
        <v>0</v>
      </c>
      <c r="G15" s="41">
        <v>0</v>
      </c>
      <c r="H15" s="302"/>
      <c r="I15" s="303"/>
      <c r="J15" s="303"/>
      <c r="K15" s="53"/>
    </row>
    <row r="16" spans="1:11" s="39" customFormat="1" ht="12.75" customHeight="1" thickBot="1">
      <c r="A16" s="292" t="s">
        <v>72</v>
      </c>
      <c r="B16" s="293"/>
      <c r="C16" s="293"/>
      <c r="D16" s="293"/>
      <c r="E16" s="293"/>
      <c r="F16" s="45">
        <f>F11+F12+F13+F14+F15</f>
        <v>20926.2</v>
      </c>
      <c r="G16" s="45">
        <f>G11+G12+G13+G14+G15</f>
        <v>20159.21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0">
        <v>1</v>
      </c>
      <c r="B18" s="27" t="s">
        <v>21</v>
      </c>
      <c r="C18" s="22" t="s">
        <v>18</v>
      </c>
      <c r="D18" s="25"/>
      <c r="E18" s="2"/>
      <c r="F18" s="26">
        <v>10000</v>
      </c>
      <c r="G18" s="3"/>
      <c r="H18" s="25"/>
      <c r="I18" s="2"/>
      <c r="J18" s="217" t="s">
        <v>4</v>
      </c>
      <c r="K18" s="86"/>
    </row>
    <row r="19" spans="1:11" ht="12.75">
      <c r="A19" s="28">
        <v>2</v>
      </c>
      <c r="B19" s="50"/>
      <c r="C19" s="30"/>
      <c r="D19" s="34"/>
      <c r="E19" s="4"/>
      <c r="F19" s="233"/>
      <c r="G19" s="31"/>
      <c r="H19" s="34"/>
      <c r="I19" s="4"/>
      <c r="J19" s="234"/>
      <c r="K19" s="24"/>
    </row>
    <row r="20" spans="1:11" ht="12.75">
      <c r="A20" s="29">
        <v>3</v>
      </c>
      <c r="B20" s="27"/>
      <c r="C20" s="22"/>
      <c r="D20" s="25"/>
      <c r="E20" s="2"/>
      <c r="F20" s="26"/>
      <c r="G20" s="3"/>
      <c r="H20" s="25"/>
      <c r="I20" s="2"/>
      <c r="J20" s="217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96">
        <v>17</v>
      </c>
      <c r="B34" s="97"/>
      <c r="C34" s="98"/>
      <c r="D34" s="99"/>
      <c r="E34" s="100"/>
      <c r="F34" s="101"/>
      <c r="G34" s="102"/>
      <c r="H34" s="100"/>
      <c r="I34" s="100"/>
      <c r="J34" s="99"/>
      <c r="K34" s="103"/>
    </row>
    <row r="35" spans="1:11" ht="13.5" thickBot="1">
      <c r="A35" s="74"/>
      <c r="B35" s="75"/>
      <c r="C35" s="43"/>
      <c r="D35" s="76"/>
      <c r="E35" s="21"/>
      <c r="F35" s="73"/>
      <c r="G35" s="36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10000</v>
      </c>
      <c r="G36" s="44">
        <f>SUM(G18:G34)</f>
        <v>0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F18</f>
        <v>10000</v>
      </c>
      <c r="G37" s="42">
        <f>G18</f>
        <v>0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0</v>
      </c>
      <c r="G38" s="42">
        <f>G36-G37</f>
        <v>0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10926.2</v>
      </c>
      <c r="G39" s="46">
        <f>G16-G36</f>
        <v>20159.21</v>
      </c>
      <c r="H39" s="294"/>
      <c r="I39" s="295"/>
      <c r="J39" s="29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0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0" t="s">
        <v>174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O32" sqref="O3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61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34</v>
      </c>
      <c r="D10" s="17">
        <v>197.1</v>
      </c>
      <c r="E10" s="18" t="s">
        <v>5</v>
      </c>
      <c r="F10" s="19"/>
      <c r="G10" s="121"/>
      <c r="H10" s="11" t="s">
        <v>7</v>
      </c>
      <c r="I10" s="12">
        <v>2.2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v>-4442.76</v>
      </c>
      <c r="G11" s="44">
        <v>-4442.78</v>
      </c>
      <c r="H11" s="333"/>
      <c r="I11" s="334"/>
      <c r="J11" s="334"/>
      <c r="K11" s="87"/>
    </row>
    <row r="12" spans="1:11" s="14" customFormat="1" ht="13.5" customHeight="1">
      <c r="A12" s="298" t="s">
        <v>24</v>
      </c>
      <c r="B12" s="299"/>
      <c r="C12" s="299"/>
      <c r="D12" s="299"/>
      <c r="E12" s="299"/>
      <c r="F12" s="41">
        <v>3860.82</v>
      </c>
      <c r="G12" s="205">
        <v>4767.84</v>
      </c>
      <c r="H12" s="302"/>
      <c r="I12" s="303"/>
      <c r="J12" s="303"/>
      <c r="K12" s="53"/>
    </row>
    <row r="13" spans="1:11" s="14" customFormat="1" ht="13.5" customHeight="1">
      <c r="A13" s="298" t="s">
        <v>28</v>
      </c>
      <c r="B13" s="299"/>
      <c r="C13" s="299"/>
      <c r="D13" s="299"/>
      <c r="E13" s="299"/>
      <c r="F13" s="41">
        <f>-(D10*12*0)</f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41">
        <v>0</v>
      </c>
      <c r="G14" s="41">
        <v>0</v>
      </c>
      <c r="H14" s="302"/>
      <c r="I14" s="303"/>
      <c r="J14" s="303"/>
      <c r="K14" s="53"/>
    </row>
    <row r="15" spans="1:11" s="14" customFormat="1" ht="13.5" customHeight="1">
      <c r="A15" s="298" t="s">
        <v>63</v>
      </c>
      <c r="B15" s="299"/>
      <c r="C15" s="299"/>
      <c r="D15" s="299"/>
      <c r="E15" s="299"/>
      <c r="F15" s="41">
        <v>0</v>
      </c>
      <c r="G15" s="41">
        <v>0</v>
      </c>
      <c r="H15" s="302"/>
      <c r="I15" s="303"/>
      <c r="J15" s="303"/>
      <c r="K15" s="53"/>
    </row>
    <row r="16" spans="1:11" s="39" customFormat="1" ht="12.75" customHeight="1" thickBot="1">
      <c r="A16" s="292" t="s">
        <v>72</v>
      </c>
      <c r="B16" s="293"/>
      <c r="C16" s="293"/>
      <c r="D16" s="293"/>
      <c r="E16" s="293"/>
      <c r="F16" s="45">
        <f>F11+F12+F13+F14+F15</f>
        <v>-581.94</v>
      </c>
      <c r="G16" s="45">
        <f>G11+G12+G13+G14+G15</f>
        <v>325.0600000000004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0">
        <v>1</v>
      </c>
      <c r="B18" s="133" t="s">
        <v>22</v>
      </c>
      <c r="C18" s="90" t="s">
        <v>118</v>
      </c>
      <c r="D18" s="85" t="s">
        <v>183</v>
      </c>
      <c r="E18" s="85" t="s">
        <v>182</v>
      </c>
      <c r="F18" s="236">
        <v>20000</v>
      </c>
      <c r="G18" s="264">
        <v>17000</v>
      </c>
      <c r="H18" s="235"/>
      <c r="I18" s="85" t="s">
        <v>177</v>
      </c>
      <c r="J18" s="211" t="s">
        <v>3</v>
      </c>
      <c r="K18" s="86"/>
    </row>
    <row r="19" spans="1:11" ht="12.75">
      <c r="A19" s="222">
        <v>2</v>
      </c>
      <c r="B19" s="27" t="s">
        <v>22</v>
      </c>
      <c r="C19" s="22" t="s">
        <v>18</v>
      </c>
      <c r="D19" s="25"/>
      <c r="E19" s="2"/>
      <c r="F19" s="26">
        <v>5000</v>
      </c>
      <c r="G19" s="3"/>
      <c r="H19" s="25"/>
      <c r="I19" s="2"/>
      <c r="J19" s="217" t="s">
        <v>4</v>
      </c>
      <c r="K19" s="24"/>
    </row>
    <row r="20" spans="1:11" ht="12.75">
      <c r="A20" s="29">
        <v>3</v>
      </c>
      <c r="B20" s="160" t="s">
        <v>65</v>
      </c>
      <c r="C20" s="143" t="s">
        <v>65</v>
      </c>
      <c r="D20" s="144"/>
      <c r="E20" s="88" t="s">
        <v>65</v>
      </c>
      <c r="F20" s="163"/>
      <c r="G20" s="153" t="s">
        <v>65</v>
      </c>
      <c r="H20" s="144"/>
      <c r="I20" s="88" t="s">
        <v>65</v>
      </c>
      <c r="J20" s="221" t="s">
        <v>65</v>
      </c>
      <c r="K20" s="244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96">
        <v>17</v>
      </c>
      <c r="B34" s="97"/>
      <c r="C34" s="98"/>
      <c r="D34" s="99"/>
      <c r="E34" s="100"/>
      <c r="F34" s="101"/>
      <c r="G34" s="102"/>
      <c r="H34" s="100"/>
      <c r="I34" s="100"/>
      <c r="J34" s="99"/>
      <c r="K34" s="103"/>
    </row>
    <row r="35" spans="1:11" ht="13.5" thickBot="1">
      <c r="A35" s="74"/>
      <c r="B35" s="75"/>
      <c r="C35" s="43"/>
      <c r="D35" s="76"/>
      <c r="E35" s="21"/>
      <c r="F35" s="73"/>
      <c r="G35" s="36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25000</v>
      </c>
      <c r="G36" s="44">
        <f>SUM(G18:G34)</f>
        <v>17000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F19</f>
        <v>5000</v>
      </c>
      <c r="G37" s="42">
        <v>0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20000</v>
      </c>
      <c r="G38" s="42">
        <f>G36-G37</f>
        <v>17000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-25581.94</v>
      </c>
      <c r="G39" s="46">
        <f>G16-G36</f>
        <v>-16674.94</v>
      </c>
      <c r="H39" s="294"/>
      <c r="I39" s="295"/>
      <c r="J39" s="29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0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0" t="s">
        <v>175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G16" sqref="G16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122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34</v>
      </c>
      <c r="D10" s="17">
        <v>7624.3</v>
      </c>
      <c r="E10" s="18" t="s">
        <v>5</v>
      </c>
      <c r="F10" s="19"/>
      <c r="G10" s="121"/>
      <c r="H10" s="11" t="s">
        <v>7</v>
      </c>
      <c r="I10" s="12">
        <v>2.2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v>-53517.73</v>
      </c>
      <c r="G11" s="44">
        <v>-64817.74</v>
      </c>
      <c r="H11" s="333"/>
      <c r="I11" s="334"/>
      <c r="J11" s="334"/>
      <c r="K11" s="87"/>
    </row>
    <row r="12" spans="1:11" s="14" customFormat="1" ht="13.5" customHeight="1">
      <c r="A12" s="298" t="s">
        <v>24</v>
      </c>
      <c r="B12" s="299"/>
      <c r="C12" s="299"/>
      <c r="D12" s="299"/>
      <c r="E12" s="299"/>
      <c r="F12" s="41">
        <v>99569.56</v>
      </c>
      <c r="G12" s="205">
        <f>2291.52+7316.67+9522.48+4791.6+44481.21+6466.77+14269.42+17727.04+52899.24</f>
        <v>159765.94999999998</v>
      </c>
      <c r="H12" s="302"/>
      <c r="I12" s="303"/>
      <c r="J12" s="303"/>
      <c r="K12" s="53"/>
    </row>
    <row r="13" spans="1:11" s="14" customFormat="1" ht="13.5" customHeight="1">
      <c r="A13" s="298" t="s">
        <v>28</v>
      </c>
      <c r="B13" s="299"/>
      <c r="C13" s="299"/>
      <c r="D13" s="299"/>
      <c r="E13" s="299"/>
      <c r="F13" s="41">
        <f>-(D10*12*0)</f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41">
        <v>0</v>
      </c>
      <c r="G14" s="41">
        <v>0</v>
      </c>
      <c r="H14" s="302"/>
      <c r="I14" s="303"/>
      <c r="J14" s="303"/>
      <c r="K14" s="53"/>
    </row>
    <row r="15" spans="1:11" s="14" customFormat="1" ht="13.5" customHeight="1">
      <c r="A15" s="298" t="s">
        <v>63</v>
      </c>
      <c r="B15" s="299"/>
      <c r="C15" s="299"/>
      <c r="D15" s="299"/>
      <c r="E15" s="299"/>
      <c r="F15" s="41">
        <v>0</v>
      </c>
      <c r="G15" s="41">
        <v>0</v>
      </c>
      <c r="H15" s="302"/>
      <c r="I15" s="303"/>
      <c r="J15" s="303"/>
      <c r="K15" s="53"/>
    </row>
    <row r="16" spans="1:11" s="39" customFormat="1" ht="12.75" customHeight="1" thickBot="1">
      <c r="A16" s="292" t="s">
        <v>72</v>
      </c>
      <c r="B16" s="293"/>
      <c r="C16" s="293"/>
      <c r="D16" s="293"/>
      <c r="E16" s="293"/>
      <c r="F16" s="45">
        <f>F11+F12+F13+F14+F15</f>
        <v>46051.829999999994</v>
      </c>
      <c r="G16" s="45">
        <f>G11+G12+G13+G14+G15</f>
        <v>94948.20999999999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0">
        <v>1</v>
      </c>
      <c r="B18" s="133" t="s">
        <v>33</v>
      </c>
      <c r="C18" s="133" t="s">
        <v>105</v>
      </c>
      <c r="D18" s="235"/>
      <c r="E18" s="85"/>
      <c r="F18" s="268">
        <v>100000</v>
      </c>
      <c r="G18" s="91"/>
      <c r="H18" s="235"/>
      <c r="I18" s="85"/>
      <c r="J18" s="235" t="s">
        <v>3</v>
      </c>
      <c r="K18" s="237" t="s">
        <v>152</v>
      </c>
    </row>
    <row r="19" spans="1:11" ht="15.75" customHeight="1">
      <c r="A19" s="28">
        <v>2</v>
      </c>
      <c r="B19" s="27" t="s">
        <v>33</v>
      </c>
      <c r="C19" s="27" t="s">
        <v>119</v>
      </c>
      <c r="D19" s="25"/>
      <c r="E19" s="2" t="s">
        <v>201</v>
      </c>
      <c r="F19" s="249">
        <v>30000</v>
      </c>
      <c r="G19" s="266">
        <f>19800+19638</f>
        <v>39438</v>
      </c>
      <c r="H19" s="2"/>
      <c r="I19" s="2" t="s">
        <v>177</v>
      </c>
      <c r="J19" s="25" t="s">
        <v>3</v>
      </c>
      <c r="K19" s="24"/>
    </row>
    <row r="20" spans="1:11" ht="16.5" customHeight="1">
      <c r="A20" s="29">
        <v>3</v>
      </c>
      <c r="B20" s="238" t="s">
        <v>33</v>
      </c>
      <c r="C20" s="239" t="s">
        <v>18</v>
      </c>
      <c r="D20" s="78"/>
      <c r="E20" s="123"/>
      <c r="F20" s="250">
        <v>10000</v>
      </c>
      <c r="G20" s="258"/>
      <c r="H20" s="78"/>
      <c r="I20" s="123"/>
      <c r="J20" s="78" t="s">
        <v>4</v>
      </c>
      <c r="K20" s="240"/>
    </row>
    <row r="21" spans="1:11" ht="12.75">
      <c r="A21" s="29">
        <v>4</v>
      </c>
      <c r="B21" s="162" t="s">
        <v>143</v>
      </c>
      <c r="C21" s="162" t="s">
        <v>151</v>
      </c>
      <c r="D21" s="140"/>
      <c r="E21" s="140"/>
      <c r="F21" s="251"/>
      <c r="G21" s="267">
        <f>6788.13+1190.9</f>
        <v>7979.030000000001</v>
      </c>
      <c r="H21" s="140"/>
      <c r="I21" s="140" t="s">
        <v>161</v>
      </c>
      <c r="J21" s="140" t="s">
        <v>3</v>
      </c>
      <c r="K21" s="169"/>
    </row>
    <row r="22" spans="1:11" ht="12.75">
      <c r="A22" s="29">
        <v>5</v>
      </c>
      <c r="B22" s="162"/>
      <c r="C22" s="162"/>
      <c r="D22" s="140"/>
      <c r="E22" s="140"/>
      <c r="F22" s="137"/>
      <c r="G22" s="176"/>
      <c r="H22" s="140"/>
      <c r="I22" s="140"/>
      <c r="J22" s="140"/>
      <c r="K22" s="169"/>
    </row>
    <row r="23" spans="1:11" ht="12.75">
      <c r="A23" s="29">
        <v>6</v>
      </c>
      <c r="B23" s="162"/>
      <c r="C23" s="162"/>
      <c r="D23" s="140"/>
      <c r="E23" s="140"/>
      <c r="F23" s="137"/>
      <c r="G23" s="137"/>
      <c r="H23" s="140"/>
      <c r="I23" s="140"/>
      <c r="J23" s="139"/>
      <c r="K23" s="169"/>
    </row>
    <row r="24" spans="1:11" ht="12.75">
      <c r="A24" s="28">
        <v>7</v>
      </c>
      <c r="B24" s="160"/>
      <c r="C24" s="136"/>
      <c r="D24" s="144"/>
      <c r="E24" s="88"/>
      <c r="F24" s="145"/>
      <c r="G24" s="153"/>
      <c r="H24" s="88"/>
      <c r="I24" s="88"/>
      <c r="J24" s="144"/>
      <c r="K24" s="170"/>
    </row>
    <row r="25" spans="1:11" ht="12.75">
      <c r="A25" s="28">
        <v>8</v>
      </c>
      <c r="B25" s="138"/>
      <c r="C25" s="159"/>
      <c r="D25" s="139"/>
      <c r="E25" s="140"/>
      <c r="F25" s="141"/>
      <c r="G25" s="137"/>
      <c r="H25" s="140"/>
      <c r="I25" s="140"/>
      <c r="J25" s="144"/>
      <c r="K25" s="170"/>
    </row>
    <row r="26" spans="1:11" ht="12.75">
      <c r="A26" s="28">
        <v>9</v>
      </c>
      <c r="B26" s="138"/>
      <c r="C26" s="159"/>
      <c r="D26" s="139"/>
      <c r="E26" s="140"/>
      <c r="F26" s="141"/>
      <c r="G26" s="137"/>
      <c r="H26" s="140"/>
      <c r="I26" s="140"/>
      <c r="J26" s="139"/>
      <c r="K26" s="170"/>
    </row>
    <row r="27" spans="1:11" ht="12.75">
      <c r="A27" s="28">
        <v>10</v>
      </c>
      <c r="B27" s="138"/>
      <c r="C27" s="159"/>
      <c r="D27" s="139"/>
      <c r="E27" s="140"/>
      <c r="F27" s="141"/>
      <c r="G27" s="137"/>
      <c r="H27" s="140"/>
      <c r="I27" s="140"/>
      <c r="J27" s="139"/>
      <c r="K27" s="170"/>
    </row>
    <row r="28" spans="1:11" ht="12.75">
      <c r="A28" s="28">
        <v>11</v>
      </c>
      <c r="B28" s="138"/>
      <c r="C28" s="159"/>
      <c r="D28" s="139"/>
      <c r="E28" s="140"/>
      <c r="F28" s="141"/>
      <c r="G28" s="137"/>
      <c r="H28" s="140"/>
      <c r="I28" s="140"/>
      <c r="J28" s="139"/>
      <c r="K28" s="170"/>
    </row>
    <row r="29" spans="1:11" ht="12.75">
      <c r="A29" s="28">
        <v>12</v>
      </c>
      <c r="B29" s="138"/>
      <c r="C29" s="159"/>
      <c r="D29" s="139"/>
      <c r="E29" s="140"/>
      <c r="F29" s="141"/>
      <c r="G29" s="137"/>
      <c r="H29" s="140"/>
      <c r="I29" s="140"/>
      <c r="J29" s="139"/>
      <c r="K29" s="170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96">
        <v>17</v>
      </c>
      <c r="B34" s="97"/>
      <c r="C34" s="98"/>
      <c r="D34" s="99"/>
      <c r="E34" s="100"/>
      <c r="F34" s="101"/>
      <c r="G34" s="102"/>
      <c r="H34" s="100"/>
      <c r="I34" s="100"/>
      <c r="J34" s="99"/>
      <c r="K34" s="103"/>
    </row>
    <row r="35" spans="1:11" ht="13.5" thickBot="1">
      <c r="A35" s="74"/>
      <c r="B35" s="75"/>
      <c r="C35" s="43"/>
      <c r="D35" s="76"/>
      <c r="E35" s="21"/>
      <c r="F35" s="73"/>
      <c r="G35" s="36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140000</v>
      </c>
      <c r="G36" s="44">
        <f>SUM(G18:G34)</f>
        <v>47417.03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F20</f>
        <v>10000</v>
      </c>
      <c r="G37" s="42">
        <f>G18</f>
        <v>0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130000</v>
      </c>
      <c r="G38" s="42">
        <f>G36-G37</f>
        <v>47417.03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-93948.17000000001</v>
      </c>
      <c r="G39" s="46">
        <f>G16-G36</f>
        <v>47531.17999999999</v>
      </c>
      <c r="H39" s="294"/>
      <c r="I39" s="295"/>
      <c r="J39" s="29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0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0" t="s">
        <v>176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="150" zoomScaleNormal="150" zoomScalePageLayoutView="0" workbookViewId="0" topLeftCell="A4">
      <selection activeCell="M8" sqref="M8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6.2812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73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94</v>
      </c>
      <c r="D10" s="17">
        <v>3457.95</v>
      </c>
      <c r="E10" s="18" t="s">
        <v>5</v>
      </c>
      <c r="F10" s="19"/>
      <c r="G10" s="134"/>
      <c r="H10" s="13" t="s">
        <v>188</v>
      </c>
      <c r="I10" s="12">
        <v>4.34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f>742408.24-4020.18</f>
        <v>738388.0599999999</v>
      </c>
      <c r="G11" s="44">
        <v>742408.24</v>
      </c>
      <c r="H11" s="314"/>
      <c r="I11" s="315"/>
      <c r="J11" s="315"/>
      <c r="K11" s="316"/>
    </row>
    <row r="12" spans="1:11" s="14" customFormat="1" ht="13.5" customHeight="1">
      <c r="A12" s="298" t="s">
        <v>29</v>
      </c>
      <c r="B12" s="299"/>
      <c r="C12" s="299"/>
      <c r="D12" s="299"/>
      <c r="E12" s="299"/>
      <c r="F12" s="41">
        <v>0</v>
      </c>
      <c r="G12" s="41">
        <v>0</v>
      </c>
      <c r="H12" s="317"/>
      <c r="I12" s="318"/>
      <c r="J12" s="318"/>
      <c r="K12" s="319"/>
    </row>
    <row r="13" spans="1:11" s="40" customFormat="1" ht="12.75" customHeight="1">
      <c r="A13" s="300" t="s">
        <v>35</v>
      </c>
      <c r="B13" s="301"/>
      <c r="C13" s="301"/>
      <c r="D13" s="301"/>
      <c r="E13" s="301"/>
      <c r="F13" s="41">
        <f>200000+713.49</f>
        <v>200713.49</v>
      </c>
      <c r="G13" s="205">
        <v>218685.6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105">
        <v>0</v>
      </c>
      <c r="G14" s="41">
        <v>0</v>
      </c>
      <c r="H14" s="306"/>
      <c r="I14" s="307"/>
      <c r="J14" s="307"/>
      <c r="K14" s="308"/>
    </row>
    <row r="15" spans="1:11" s="14" customFormat="1" ht="13.5" customHeight="1">
      <c r="A15" s="298" t="s">
        <v>64</v>
      </c>
      <c r="B15" s="299"/>
      <c r="C15" s="299"/>
      <c r="D15" s="299"/>
      <c r="E15" s="299"/>
      <c r="F15" s="41">
        <v>0</v>
      </c>
      <c r="G15" s="41">
        <v>0</v>
      </c>
      <c r="H15" s="302"/>
      <c r="I15" s="303"/>
      <c r="J15" s="303"/>
      <c r="K15" s="53"/>
    </row>
    <row r="16" spans="1:11" s="39" customFormat="1" ht="12.75" customHeight="1" thickBot="1">
      <c r="A16" s="292" t="s">
        <v>71</v>
      </c>
      <c r="B16" s="293"/>
      <c r="C16" s="293"/>
      <c r="D16" s="293"/>
      <c r="E16" s="293"/>
      <c r="F16" s="45">
        <f>F11+F12+F13+F14+F15</f>
        <v>939101.5499999999</v>
      </c>
      <c r="G16" s="45">
        <f>G11+G12+G13+G14+G15</f>
        <v>961093.84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89">
        <v>1</v>
      </c>
      <c r="B18" s="216" t="s">
        <v>91</v>
      </c>
      <c r="C18" s="90" t="s">
        <v>92</v>
      </c>
      <c r="D18" s="109" t="s">
        <v>93</v>
      </c>
      <c r="E18" s="108"/>
      <c r="F18" s="135">
        <v>150000</v>
      </c>
      <c r="G18" s="259">
        <v>265000</v>
      </c>
      <c r="H18" s="109"/>
      <c r="I18" s="225" t="s">
        <v>189</v>
      </c>
      <c r="J18" s="211" t="s">
        <v>3</v>
      </c>
      <c r="K18" s="188"/>
    </row>
    <row r="19" spans="1:11" ht="12.75">
      <c r="A19" s="190">
        <v>2</v>
      </c>
      <c r="B19" s="69" t="s">
        <v>66</v>
      </c>
      <c r="C19" s="22" t="s">
        <v>18</v>
      </c>
      <c r="D19" s="65"/>
      <c r="E19" s="51"/>
      <c r="F19" s="64">
        <v>50000</v>
      </c>
      <c r="G19" s="260"/>
      <c r="H19" s="65"/>
      <c r="I19" s="224"/>
      <c r="J19" s="217" t="s">
        <v>4</v>
      </c>
      <c r="K19" s="168"/>
    </row>
    <row r="20" spans="1:11" ht="12.75">
      <c r="A20" s="190">
        <v>3</v>
      </c>
      <c r="B20" s="201" t="s">
        <v>66</v>
      </c>
      <c r="C20" s="143" t="s">
        <v>126</v>
      </c>
      <c r="D20" s="164"/>
      <c r="E20" s="136"/>
      <c r="F20" s="145"/>
      <c r="G20" s="261">
        <f>164.06+3375.58</f>
        <v>3539.64</v>
      </c>
      <c r="H20" s="164"/>
      <c r="I20" s="164" t="s">
        <v>160</v>
      </c>
      <c r="J20" s="221" t="s">
        <v>3</v>
      </c>
      <c r="K20" s="168"/>
    </row>
    <row r="21" spans="1:11" ht="12.75">
      <c r="A21" s="190">
        <v>4</v>
      </c>
      <c r="B21" s="201" t="s">
        <v>128</v>
      </c>
      <c r="C21" s="136" t="s">
        <v>127</v>
      </c>
      <c r="D21" s="164"/>
      <c r="E21" s="136"/>
      <c r="F21" s="145"/>
      <c r="G21" s="261">
        <v>3234</v>
      </c>
      <c r="H21" s="164"/>
      <c r="I21" s="164" t="s">
        <v>160</v>
      </c>
      <c r="J21" s="221" t="s">
        <v>4</v>
      </c>
      <c r="K21" s="168"/>
    </row>
    <row r="22" spans="1:11" ht="12.75">
      <c r="A22" s="190">
        <v>5</v>
      </c>
      <c r="B22" s="201" t="s">
        <v>128</v>
      </c>
      <c r="C22" s="136" t="s">
        <v>129</v>
      </c>
      <c r="D22" s="164"/>
      <c r="E22" s="136"/>
      <c r="F22" s="145"/>
      <c r="G22" s="261">
        <v>11313.55</v>
      </c>
      <c r="H22" s="164"/>
      <c r="I22" s="164" t="s">
        <v>161</v>
      </c>
      <c r="J22" s="221" t="s">
        <v>3</v>
      </c>
      <c r="K22" s="202"/>
    </row>
    <row r="23" spans="1:11" ht="12.75">
      <c r="A23" s="190">
        <v>6</v>
      </c>
      <c r="B23" s="201"/>
      <c r="C23" s="136"/>
      <c r="D23" s="164"/>
      <c r="E23" s="136"/>
      <c r="F23" s="145"/>
      <c r="G23" s="177"/>
      <c r="H23" s="164"/>
      <c r="I23" s="164"/>
      <c r="J23" s="221"/>
      <c r="K23" s="168"/>
    </row>
    <row r="24" spans="1:11" ht="12.75">
      <c r="A24" s="190">
        <v>7</v>
      </c>
      <c r="B24" s="201"/>
      <c r="C24" s="143"/>
      <c r="D24" s="164"/>
      <c r="E24" s="136"/>
      <c r="F24" s="145"/>
      <c r="G24" s="177"/>
      <c r="H24" s="164"/>
      <c r="I24" s="164"/>
      <c r="J24" s="221"/>
      <c r="K24" s="168"/>
    </row>
    <row r="25" spans="1:11" ht="12.75">
      <c r="A25" s="190">
        <v>8</v>
      </c>
      <c r="B25" s="201"/>
      <c r="C25" s="136"/>
      <c r="D25" s="164"/>
      <c r="E25" s="136"/>
      <c r="F25" s="145"/>
      <c r="G25" s="177"/>
      <c r="H25" s="164"/>
      <c r="I25" s="164"/>
      <c r="J25" s="221"/>
      <c r="K25" s="168"/>
    </row>
    <row r="26" spans="1:11" ht="12.75">
      <c r="A26" s="190">
        <v>9</v>
      </c>
      <c r="B26" s="201"/>
      <c r="C26" s="136"/>
      <c r="D26" s="164"/>
      <c r="E26" s="136"/>
      <c r="F26" s="145"/>
      <c r="G26" s="145"/>
      <c r="H26" s="164"/>
      <c r="I26" s="164"/>
      <c r="J26" s="221"/>
      <c r="K26" s="168"/>
    </row>
    <row r="27" spans="1:11" ht="12.75">
      <c r="A27" s="190">
        <v>10</v>
      </c>
      <c r="B27" s="201"/>
      <c r="C27" s="136"/>
      <c r="D27" s="164"/>
      <c r="E27" s="136"/>
      <c r="F27" s="145"/>
      <c r="G27" s="145"/>
      <c r="H27" s="164"/>
      <c r="I27" s="164"/>
      <c r="J27" s="221"/>
      <c r="K27" s="168"/>
    </row>
    <row r="28" spans="1:11" ht="12.75">
      <c r="A28" s="190">
        <v>11</v>
      </c>
      <c r="B28" s="201"/>
      <c r="C28" s="136"/>
      <c r="D28" s="164"/>
      <c r="E28" s="136"/>
      <c r="F28" s="145"/>
      <c r="G28" s="145"/>
      <c r="H28" s="164"/>
      <c r="I28" s="164"/>
      <c r="J28" s="221"/>
      <c r="K28" s="168"/>
    </row>
    <row r="29" spans="1:11" ht="12.75">
      <c r="A29" s="190">
        <v>12</v>
      </c>
      <c r="B29" s="201"/>
      <c r="C29" s="136"/>
      <c r="D29" s="164"/>
      <c r="E29" s="136"/>
      <c r="F29" s="145"/>
      <c r="G29" s="145"/>
      <c r="H29" s="164"/>
      <c r="I29" s="136"/>
      <c r="J29" s="221"/>
      <c r="K29" s="168"/>
    </row>
    <row r="30" spans="1:11" ht="12.75">
      <c r="A30" s="190">
        <v>13</v>
      </c>
      <c r="B30" s="201"/>
      <c r="C30" s="136"/>
      <c r="D30" s="164"/>
      <c r="E30" s="136"/>
      <c r="F30" s="145"/>
      <c r="G30" s="145"/>
      <c r="H30" s="164"/>
      <c r="I30" s="136"/>
      <c r="J30" s="142"/>
      <c r="K30" s="168"/>
    </row>
    <row r="31" spans="1:11" ht="12.75">
      <c r="A31" s="190">
        <v>14</v>
      </c>
      <c r="B31" s="201"/>
      <c r="C31" s="136"/>
      <c r="D31" s="164"/>
      <c r="E31" s="136"/>
      <c r="F31" s="145"/>
      <c r="G31" s="145"/>
      <c r="H31" s="164"/>
      <c r="I31" s="136"/>
      <c r="J31" s="142"/>
      <c r="K31" s="168"/>
    </row>
    <row r="32" spans="1:11" ht="12.75">
      <c r="A32" s="190">
        <v>15</v>
      </c>
      <c r="B32" s="69"/>
      <c r="C32" s="51"/>
      <c r="D32" s="65"/>
      <c r="E32" s="51"/>
      <c r="F32" s="64"/>
      <c r="G32" s="64"/>
      <c r="H32" s="65"/>
      <c r="I32" s="51"/>
      <c r="J32" s="187"/>
      <c r="K32" s="186"/>
    </row>
    <row r="33" spans="1:11" ht="12.75">
      <c r="A33" s="190">
        <v>16</v>
      </c>
      <c r="B33" s="69"/>
      <c r="C33" s="51"/>
      <c r="D33" s="65"/>
      <c r="E33" s="51"/>
      <c r="F33" s="64"/>
      <c r="G33" s="64"/>
      <c r="H33" s="65"/>
      <c r="I33" s="51"/>
      <c r="J33" s="187"/>
      <c r="K33" s="186"/>
    </row>
    <row r="34" spans="1:11" ht="13.5" thickBot="1">
      <c r="A34" s="191">
        <v>17</v>
      </c>
      <c r="B34" s="192"/>
      <c r="C34" s="98"/>
      <c r="D34" s="106"/>
      <c r="E34" s="98"/>
      <c r="F34" s="101"/>
      <c r="G34" s="101"/>
      <c r="H34" s="106"/>
      <c r="I34" s="98"/>
      <c r="J34" s="132"/>
      <c r="K34" s="131"/>
    </row>
    <row r="35" spans="1:11" ht="13.5" thickBot="1">
      <c r="A35" s="74"/>
      <c r="B35" s="75"/>
      <c r="C35" s="43"/>
      <c r="D35" s="76"/>
      <c r="E35" s="21"/>
      <c r="F35" s="73"/>
      <c r="G35" s="36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200000</v>
      </c>
      <c r="G36" s="44">
        <f>SUM(G18:G34)</f>
        <v>283087.19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F19</f>
        <v>50000</v>
      </c>
      <c r="G37" s="42">
        <f>G21</f>
        <v>3234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150000</v>
      </c>
      <c r="G38" s="42">
        <f>G36-G37</f>
        <v>279853.19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739101.5499999999</v>
      </c>
      <c r="G39" s="46">
        <f>G16-G36</f>
        <v>678006.6499999999</v>
      </c>
      <c r="H39" s="294"/>
      <c r="I39" s="295"/>
      <c r="J39" s="295"/>
      <c r="K39" s="54"/>
    </row>
    <row r="40" ht="12.75">
      <c r="K40" s="130"/>
    </row>
    <row r="41" ht="12.75">
      <c r="K41" s="130" t="s">
        <v>163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</sheetData>
  <sheetProtection/>
  <mergeCells count="33">
    <mergeCell ref="A39:E39"/>
    <mergeCell ref="H39:J39"/>
    <mergeCell ref="A36:E36"/>
    <mergeCell ref="H36:J36"/>
    <mergeCell ref="B38:E38"/>
    <mergeCell ref="B37:E37"/>
    <mergeCell ref="H38:J38"/>
    <mergeCell ref="A13:E13"/>
    <mergeCell ref="H13:J13"/>
    <mergeCell ref="A15:E15"/>
    <mergeCell ref="H15:J15"/>
    <mergeCell ref="H37:J37"/>
    <mergeCell ref="A16:E16"/>
    <mergeCell ref="H16:J16"/>
    <mergeCell ref="A14:E14"/>
    <mergeCell ref="H14:K14"/>
    <mergeCell ref="A11:E11"/>
    <mergeCell ref="A12:E12"/>
    <mergeCell ref="A9:K9"/>
    <mergeCell ref="H11:K12"/>
    <mergeCell ref="G6:G7"/>
    <mergeCell ref="H6:H7"/>
    <mergeCell ref="K6:K7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J6:J7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&amp;CStrona &amp;P z &amp;N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1">
      <selection activeCell="G31" sqref="G3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36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15</v>
      </c>
      <c r="D10" s="17">
        <v>28443.63</v>
      </c>
      <c r="E10" s="18" t="s">
        <v>5</v>
      </c>
      <c r="F10" s="19"/>
      <c r="G10" s="121"/>
      <c r="H10" s="11" t="s">
        <v>7</v>
      </c>
      <c r="I10" s="12">
        <v>1.7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v>328596.48</v>
      </c>
      <c r="G11" s="44">
        <v>326596.47</v>
      </c>
      <c r="H11" s="337"/>
      <c r="I11" s="334"/>
      <c r="J11" s="334"/>
      <c r="K11" s="338"/>
    </row>
    <row r="12" spans="1:11" s="14" customFormat="1" ht="13.5" customHeight="1">
      <c r="A12" s="298" t="s">
        <v>24</v>
      </c>
      <c r="B12" s="299"/>
      <c r="C12" s="299"/>
      <c r="D12" s="299"/>
      <c r="E12" s="299"/>
      <c r="F12" s="41">
        <v>600000</v>
      </c>
      <c r="G12" s="205">
        <f>56183.64+108651.42+147345.12+109335.84+78507.7+79917.6</f>
        <v>579941.3200000001</v>
      </c>
      <c r="H12" s="302"/>
      <c r="I12" s="303"/>
      <c r="J12" s="303"/>
      <c r="K12" s="53"/>
    </row>
    <row r="13" spans="1:11" s="14" customFormat="1" ht="13.5" customHeight="1">
      <c r="A13" s="298" t="s">
        <v>28</v>
      </c>
      <c r="B13" s="299"/>
      <c r="C13" s="299"/>
      <c r="D13" s="299"/>
      <c r="E13" s="299"/>
      <c r="F13" s="41">
        <f>-(D10*12*0)</f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41">
        <v>0</v>
      </c>
      <c r="G14" s="205">
        <v>0</v>
      </c>
      <c r="H14" s="306"/>
      <c r="I14" s="307"/>
      <c r="J14" s="307"/>
      <c r="K14" s="308"/>
    </row>
    <row r="15" spans="1:11" s="14" customFormat="1" ht="13.5" customHeight="1">
      <c r="A15" s="298" t="s">
        <v>63</v>
      </c>
      <c r="B15" s="299"/>
      <c r="C15" s="299"/>
      <c r="D15" s="299"/>
      <c r="E15" s="299"/>
      <c r="F15" s="41">
        <v>0</v>
      </c>
      <c r="G15" s="205">
        <v>0</v>
      </c>
      <c r="H15" s="304"/>
      <c r="I15" s="303"/>
      <c r="J15" s="303"/>
      <c r="K15" s="305"/>
    </row>
    <row r="16" spans="1:11" s="39" customFormat="1" ht="12.75" customHeight="1" thickBot="1">
      <c r="A16" s="292" t="s">
        <v>72</v>
      </c>
      <c r="B16" s="293"/>
      <c r="C16" s="293"/>
      <c r="D16" s="293"/>
      <c r="E16" s="293"/>
      <c r="F16" s="45">
        <f>F11+F12+F13+F14+F15</f>
        <v>928596.48</v>
      </c>
      <c r="G16" s="45">
        <f>G11+G12+G13+G14+G15</f>
        <v>906537.79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0">
        <v>1</v>
      </c>
      <c r="B18" s="108" t="s">
        <v>87</v>
      </c>
      <c r="C18" s="108" t="s">
        <v>110</v>
      </c>
      <c r="D18" s="109" t="s">
        <v>95</v>
      </c>
      <c r="E18" s="109" t="s">
        <v>113</v>
      </c>
      <c r="F18" s="135">
        <v>50000</v>
      </c>
      <c r="G18" s="263">
        <f>53259+61377</f>
        <v>114636</v>
      </c>
      <c r="H18" s="82"/>
      <c r="I18" s="83" t="s">
        <v>193</v>
      </c>
      <c r="J18" s="82" t="s">
        <v>3</v>
      </c>
      <c r="K18" s="128" t="s">
        <v>192</v>
      </c>
    </row>
    <row r="19" spans="1:11" ht="12.75">
      <c r="A19" s="28">
        <v>2</v>
      </c>
      <c r="B19" s="51" t="s">
        <v>107</v>
      </c>
      <c r="C19" s="22" t="s">
        <v>97</v>
      </c>
      <c r="D19" s="65" t="s">
        <v>98</v>
      </c>
      <c r="E19" s="51"/>
      <c r="F19" s="64">
        <v>120000</v>
      </c>
      <c r="G19" s="252">
        <f>69871.17+69943.83</f>
        <v>139815</v>
      </c>
      <c r="H19" s="196"/>
      <c r="I19" s="197" t="s">
        <v>177</v>
      </c>
      <c r="J19" s="78" t="s">
        <v>3</v>
      </c>
      <c r="K19" s="212"/>
    </row>
    <row r="20" spans="1:11" ht="12.75">
      <c r="A20" s="28">
        <v>3</v>
      </c>
      <c r="B20" s="51" t="s">
        <v>96</v>
      </c>
      <c r="C20" s="22" t="s">
        <v>97</v>
      </c>
      <c r="D20" s="65" t="s">
        <v>98</v>
      </c>
      <c r="E20" s="51"/>
      <c r="F20" s="64">
        <v>120000</v>
      </c>
      <c r="G20" s="252">
        <f>69871.17+69943.83</f>
        <v>139815</v>
      </c>
      <c r="H20" s="196"/>
      <c r="I20" s="197" t="s">
        <v>177</v>
      </c>
      <c r="J20" s="78" t="s">
        <v>3</v>
      </c>
      <c r="K20" s="212"/>
    </row>
    <row r="21" spans="1:11" ht="12.75">
      <c r="A21" s="28">
        <v>4</v>
      </c>
      <c r="B21" s="51" t="s">
        <v>86</v>
      </c>
      <c r="C21" s="22" t="s">
        <v>106</v>
      </c>
      <c r="D21" s="65">
        <v>146</v>
      </c>
      <c r="E21" s="51"/>
      <c r="F21" s="64">
        <f>D21*100</f>
        <v>14600</v>
      </c>
      <c r="G21" s="252"/>
      <c r="H21" s="196"/>
      <c r="I21" s="197"/>
      <c r="J21" s="78" t="s">
        <v>3</v>
      </c>
      <c r="K21" s="262" t="s">
        <v>205</v>
      </c>
    </row>
    <row r="22" spans="1:11" ht="12.75">
      <c r="A22" s="28">
        <v>5</v>
      </c>
      <c r="B22" s="51" t="s">
        <v>96</v>
      </c>
      <c r="C22" s="22" t="s">
        <v>106</v>
      </c>
      <c r="D22" s="65">
        <v>204</v>
      </c>
      <c r="E22" s="51"/>
      <c r="F22" s="64">
        <f>D22*100</f>
        <v>20400</v>
      </c>
      <c r="G22" s="252"/>
      <c r="H22" s="196"/>
      <c r="I22" s="197"/>
      <c r="J22" s="78" t="s">
        <v>3</v>
      </c>
      <c r="K22" s="262" t="s">
        <v>205</v>
      </c>
    </row>
    <row r="23" spans="1:11" ht="12.75">
      <c r="A23" s="28">
        <v>6</v>
      </c>
      <c r="B23" s="51" t="s">
        <v>107</v>
      </c>
      <c r="C23" s="22" t="s">
        <v>106</v>
      </c>
      <c r="D23" s="65">
        <v>201</v>
      </c>
      <c r="E23" s="51"/>
      <c r="F23" s="64">
        <f>D23*100</f>
        <v>20100</v>
      </c>
      <c r="G23" s="252"/>
      <c r="H23" s="196"/>
      <c r="I23" s="197"/>
      <c r="J23" s="78" t="s">
        <v>3</v>
      </c>
      <c r="K23" s="262" t="s">
        <v>205</v>
      </c>
    </row>
    <row r="24" spans="1:11" s="116" customFormat="1" ht="12.75">
      <c r="A24" s="117">
        <v>7</v>
      </c>
      <c r="B24" s="51" t="s">
        <v>20</v>
      </c>
      <c r="C24" s="22" t="s">
        <v>18</v>
      </c>
      <c r="D24" s="65"/>
      <c r="E24" s="51"/>
      <c r="F24" s="64">
        <v>50000</v>
      </c>
      <c r="G24" s="253"/>
      <c r="H24" s="196"/>
      <c r="I24" s="197"/>
      <c r="J24" s="78" t="s">
        <v>4</v>
      </c>
      <c r="K24" s="113"/>
    </row>
    <row r="25" spans="1:11" s="116" customFormat="1" ht="12.75">
      <c r="A25" s="115">
        <v>8</v>
      </c>
      <c r="B25" s="136" t="s">
        <v>86</v>
      </c>
      <c r="C25" s="143" t="s">
        <v>130</v>
      </c>
      <c r="D25" s="164"/>
      <c r="E25" s="136"/>
      <c r="F25" s="145"/>
      <c r="G25" s="254">
        <v>18792</v>
      </c>
      <c r="H25" s="140"/>
      <c r="I25" s="88" t="s">
        <v>161</v>
      </c>
      <c r="J25" s="166" t="s">
        <v>3</v>
      </c>
      <c r="K25" s="241"/>
    </row>
    <row r="26" spans="1:11" s="116" customFormat="1" ht="12.75">
      <c r="A26" s="115">
        <v>9</v>
      </c>
      <c r="B26" s="147" t="s">
        <v>178</v>
      </c>
      <c r="C26" s="143" t="s">
        <v>131</v>
      </c>
      <c r="D26" s="164"/>
      <c r="E26" s="136"/>
      <c r="F26" s="145"/>
      <c r="G26" s="254">
        <f>7603.2+19602+21168+520+21480</f>
        <v>70373.2</v>
      </c>
      <c r="H26" s="164" t="s">
        <v>65</v>
      </c>
      <c r="I26" s="167" t="s">
        <v>161</v>
      </c>
      <c r="J26" s="166" t="s">
        <v>3</v>
      </c>
      <c r="K26" s="172" t="s">
        <v>196</v>
      </c>
    </row>
    <row r="27" spans="1:11" s="116" customFormat="1" ht="12.75">
      <c r="A27" s="115">
        <v>10</v>
      </c>
      <c r="B27" s="147" t="s">
        <v>20</v>
      </c>
      <c r="C27" s="143" t="s">
        <v>132</v>
      </c>
      <c r="D27" s="164"/>
      <c r="E27" s="136"/>
      <c r="F27" s="145"/>
      <c r="G27" s="254">
        <f>1227.95+2380.14+3212.56+2395.21+2116.8+318+2592+3844.8</f>
        <v>18087.46</v>
      </c>
      <c r="H27" s="164"/>
      <c r="I27" s="167">
        <v>2022</v>
      </c>
      <c r="J27" s="166" t="s">
        <v>3</v>
      </c>
      <c r="K27" s="172"/>
    </row>
    <row r="28" spans="1:11" s="116" customFormat="1" ht="12.75">
      <c r="A28" s="115">
        <v>11</v>
      </c>
      <c r="B28" s="147" t="s">
        <v>157</v>
      </c>
      <c r="C28" s="159" t="s">
        <v>156</v>
      </c>
      <c r="D28" s="146"/>
      <c r="E28" s="146"/>
      <c r="F28" s="145"/>
      <c r="G28" s="255">
        <v>18684</v>
      </c>
      <c r="H28" s="164"/>
      <c r="I28" s="88" t="s">
        <v>161</v>
      </c>
      <c r="J28" s="173" t="s">
        <v>3</v>
      </c>
      <c r="K28" s="172"/>
    </row>
    <row r="29" spans="1:11" s="116" customFormat="1" ht="12.75">
      <c r="A29" s="115">
        <v>12</v>
      </c>
      <c r="B29" s="147" t="s">
        <v>96</v>
      </c>
      <c r="C29" s="159" t="s">
        <v>179</v>
      </c>
      <c r="D29" s="146" t="s">
        <v>65</v>
      </c>
      <c r="E29" s="146" t="s">
        <v>180</v>
      </c>
      <c r="F29" s="145"/>
      <c r="G29" s="255">
        <f>14040+7344+8640</f>
        <v>30024</v>
      </c>
      <c r="H29" s="164"/>
      <c r="I29" s="173" t="s">
        <v>177</v>
      </c>
      <c r="J29" s="166" t="s">
        <v>3</v>
      </c>
      <c r="K29" s="172" t="s">
        <v>196</v>
      </c>
    </row>
    <row r="30" spans="1:11" s="116" customFormat="1" ht="12.75">
      <c r="A30" s="115">
        <v>13</v>
      </c>
      <c r="B30" s="147" t="s">
        <v>157</v>
      </c>
      <c r="C30" s="159" t="s">
        <v>181</v>
      </c>
      <c r="D30" s="146"/>
      <c r="E30" s="146"/>
      <c r="F30" s="145"/>
      <c r="G30" s="255">
        <v>13716</v>
      </c>
      <c r="H30" s="164"/>
      <c r="I30" s="173" t="s">
        <v>177</v>
      </c>
      <c r="J30" s="166" t="s">
        <v>3</v>
      </c>
      <c r="K30" s="172"/>
    </row>
    <row r="31" spans="1:11" s="116" customFormat="1" ht="12.75">
      <c r="A31" s="115">
        <v>14</v>
      </c>
      <c r="B31" s="147" t="s">
        <v>191</v>
      </c>
      <c r="C31" s="159" t="s">
        <v>190</v>
      </c>
      <c r="D31" s="146" t="s">
        <v>65</v>
      </c>
      <c r="E31" s="146" t="s">
        <v>98</v>
      </c>
      <c r="F31" s="145"/>
      <c r="G31" s="255">
        <v>41040</v>
      </c>
      <c r="H31" s="164"/>
      <c r="I31" s="173" t="s">
        <v>189</v>
      </c>
      <c r="J31" s="166" t="s">
        <v>3</v>
      </c>
      <c r="K31" s="172" t="s">
        <v>206</v>
      </c>
    </row>
    <row r="32" spans="1:11" s="116" customFormat="1" ht="12.75">
      <c r="A32" s="115">
        <v>15</v>
      </c>
      <c r="B32" s="147" t="s">
        <v>191</v>
      </c>
      <c r="C32" s="159" t="s">
        <v>208</v>
      </c>
      <c r="D32" s="146"/>
      <c r="E32" s="146"/>
      <c r="F32" s="145"/>
      <c r="G32" s="178">
        <v>1944</v>
      </c>
      <c r="H32" s="164"/>
      <c r="I32" s="173" t="s">
        <v>189</v>
      </c>
      <c r="J32" s="166" t="s">
        <v>3</v>
      </c>
      <c r="K32" s="172"/>
    </row>
    <row r="33" spans="1:11" ht="12.75">
      <c r="A33" s="28">
        <v>16</v>
      </c>
      <c r="B33" s="147"/>
      <c r="C33" s="159"/>
      <c r="D33" s="146"/>
      <c r="E33" s="146"/>
      <c r="F33" s="145"/>
      <c r="G33" s="178"/>
      <c r="H33" s="164"/>
      <c r="I33" s="167"/>
      <c r="J33" s="173"/>
      <c r="K33" s="172"/>
    </row>
    <row r="34" spans="1:11" ht="13.5" thickBot="1">
      <c r="A34" s="96">
        <v>17</v>
      </c>
      <c r="B34" s="148"/>
      <c r="C34" s="149"/>
      <c r="D34" s="150"/>
      <c r="E34" s="151"/>
      <c r="F34" s="152"/>
      <c r="G34" s="182"/>
      <c r="H34" s="125"/>
      <c r="I34" s="125"/>
      <c r="J34" s="124"/>
      <c r="K34" s="126"/>
    </row>
    <row r="35" spans="1:11" ht="13.5" thickBot="1">
      <c r="A35" s="74"/>
      <c r="B35" s="75"/>
      <c r="C35" s="43"/>
      <c r="D35" s="76"/>
      <c r="E35" s="21"/>
      <c r="F35" s="73"/>
      <c r="G35" s="183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395100</v>
      </c>
      <c r="G36" s="44">
        <f>SUM(G18:G34)</f>
        <v>606926.66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F24</f>
        <v>50000</v>
      </c>
      <c r="G37" s="42">
        <v>0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345100</v>
      </c>
      <c r="G38" s="42">
        <f>G36-G37</f>
        <v>606926.66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533496.48</v>
      </c>
      <c r="G39" s="46">
        <f>G16-G36</f>
        <v>299611.13</v>
      </c>
      <c r="H39" s="294"/>
      <c r="I39" s="295"/>
      <c r="J39" s="29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0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0" t="s">
        <v>164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6:A7"/>
    <mergeCell ref="A11:E11"/>
    <mergeCell ref="A15:E15"/>
    <mergeCell ref="A12:E12"/>
    <mergeCell ref="D6:D7"/>
    <mergeCell ref="B37:E37"/>
    <mergeCell ref="H37:J37"/>
    <mergeCell ref="H36:J36"/>
    <mergeCell ref="A13:E13"/>
    <mergeCell ref="H16:J16"/>
    <mergeCell ref="A16:E16"/>
    <mergeCell ref="H14:K14"/>
    <mergeCell ref="H15:K15"/>
    <mergeCell ref="H13:J13"/>
    <mergeCell ref="H12:J12"/>
    <mergeCell ref="K6:K7"/>
    <mergeCell ref="G6:G7"/>
    <mergeCell ref="H11:K11"/>
    <mergeCell ref="A39:E39"/>
    <mergeCell ref="H39:J39"/>
    <mergeCell ref="A14:E14"/>
    <mergeCell ref="H38:J38"/>
    <mergeCell ref="B38:E38"/>
    <mergeCell ref="A36:E36"/>
    <mergeCell ref="A3:K3"/>
    <mergeCell ref="A4:K4"/>
    <mergeCell ref="A9:K9"/>
    <mergeCell ref="B6:B7"/>
    <mergeCell ref="C6:C7"/>
    <mergeCell ref="J6:J7"/>
    <mergeCell ref="H6:H7"/>
    <mergeCell ref="E6:E7"/>
    <mergeCell ref="I6:I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50" zoomScaleNormal="150" zoomScalePageLayoutView="0" workbookViewId="0" topLeftCell="A2">
      <selection activeCell="C22" sqref="C2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37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15</v>
      </c>
      <c r="D10" s="17">
        <v>8881.03</v>
      </c>
      <c r="E10" s="18" t="s">
        <v>5</v>
      </c>
      <c r="F10" s="19"/>
      <c r="G10" s="121"/>
      <c r="H10" s="11" t="s">
        <v>7</v>
      </c>
      <c r="I10" s="12">
        <v>1.6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v>90031.49</v>
      </c>
      <c r="G11" s="44">
        <v>90031.49</v>
      </c>
      <c r="H11" s="337"/>
      <c r="I11" s="334"/>
      <c r="J11" s="334"/>
      <c r="K11" s="338"/>
    </row>
    <row r="12" spans="1:11" s="14" customFormat="1" ht="13.5" customHeight="1">
      <c r="A12" s="298" t="s">
        <v>24</v>
      </c>
      <c r="B12" s="299"/>
      <c r="C12" s="299"/>
      <c r="D12" s="299"/>
      <c r="E12" s="299"/>
      <c r="F12" s="41">
        <v>170000</v>
      </c>
      <c r="G12" s="205">
        <f>37098.6+64892.16+68525.04</f>
        <v>170515.8</v>
      </c>
      <c r="H12" s="302"/>
      <c r="I12" s="303"/>
      <c r="J12" s="303"/>
      <c r="K12" s="53"/>
    </row>
    <row r="13" spans="1:11" s="14" customFormat="1" ht="13.5" customHeight="1">
      <c r="A13" s="298" t="s">
        <v>28</v>
      </c>
      <c r="B13" s="299"/>
      <c r="C13" s="299"/>
      <c r="D13" s="299"/>
      <c r="E13" s="299"/>
      <c r="F13" s="41">
        <f>-(D10*12*0)</f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41">
        <v>0</v>
      </c>
      <c r="G14" s="41">
        <v>0</v>
      </c>
      <c r="H14" s="306"/>
      <c r="I14" s="307"/>
      <c r="J14" s="307"/>
      <c r="K14" s="308"/>
    </row>
    <row r="15" spans="1:11" s="14" customFormat="1" ht="13.5" customHeight="1">
      <c r="A15" s="298" t="s">
        <v>63</v>
      </c>
      <c r="B15" s="299"/>
      <c r="C15" s="299"/>
      <c r="D15" s="299"/>
      <c r="E15" s="299"/>
      <c r="F15" s="41">
        <v>0</v>
      </c>
      <c r="G15" s="41">
        <v>0</v>
      </c>
      <c r="H15" s="304"/>
      <c r="I15" s="303"/>
      <c r="J15" s="303"/>
      <c r="K15" s="305"/>
    </row>
    <row r="16" spans="1:11" s="39" customFormat="1" ht="12.75" customHeight="1" thickBot="1">
      <c r="A16" s="292" t="s">
        <v>72</v>
      </c>
      <c r="B16" s="293"/>
      <c r="C16" s="293"/>
      <c r="D16" s="293"/>
      <c r="E16" s="293"/>
      <c r="F16" s="45">
        <f>F11+F12+F13+F14+F15</f>
        <v>260031.49</v>
      </c>
      <c r="G16" s="45">
        <f>G11+G12+G13+G14+G15</f>
        <v>260547.28999999998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07">
        <v>1</v>
      </c>
      <c r="B18" s="81" t="s">
        <v>112</v>
      </c>
      <c r="C18" s="90" t="s">
        <v>111</v>
      </c>
      <c r="D18" s="83" t="s">
        <v>113</v>
      </c>
      <c r="E18" s="83" t="s">
        <v>113</v>
      </c>
      <c r="F18" s="84">
        <v>150000</v>
      </c>
      <c r="G18" s="264">
        <v>228188.02</v>
      </c>
      <c r="H18" s="68"/>
      <c r="I18" s="83" t="s">
        <v>189</v>
      </c>
      <c r="J18" s="218" t="s">
        <v>3</v>
      </c>
      <c r="K18" s="165"/>
    </row>
    <row r="19" spans="1:11" ht="12.75">
      <c r="A19" s="29">
        <v>2</v>
      </c>
      <c r="B19" s="22" t="s">
        <v>121</v>
      </c>
      <c r="C19" s="22" t="s">
        <v>120</v>
      </c>
      <c r="D19" s="2"/>
      <c r="E19" s="2"/>
      <c r="F19" s="3">
        <v>50000</v>
      </c>
      <c r="G19" s="257"/>
      <c r="H19" s="65"/>
      <c r="I19" s="2"/>
      <c r="J19" s="217" t="s">
        <v>3</v>
      </c>
      <c r="K19" s="161" t="s">
        <v>152</v>
      </c>
    </row>
    <row r="20" spans="1:11" ht="12.75">
      <c r="A20" s="29">
        <v>3</v>
      </c>
      <c r="B20" s="22" t="s">
        <v>21</v>
      </c>
      <c r="C20" s="22" t="s">
        <v>18</v>
      </c>
      <c r="D20" s="2"/>
      <c r="E20" s="2"/>
      <c r="F20" s="3">
        <v>50000</v>
      </c>
      <c r="G20" s="257"/>
      <c r="H20" s="65"/>
      <c r="I20" s="2"/>
      <c r="J20" s="217" t="s">
        <v>4</v>
      </c>
      <c r="K20" s="129"/>
    </row>
    <row r="21" spans="1:11" ht="12.75">
      <c r="A21" s="28">
        <v>4</v>
      </c>
      <c r="B21" s="143" t="s">
        <v>134</v>
      </c>
      <c r="C21" s="162" t="s">
        <v>133</v>
      </c>
      <c r="D21" s="88"/>
      <c r="E21" s="88"/>
      <c r="F21" s="153"/>
      <c r="G21" s="254">
        <f>253.79</f>
        <v>253.79</v>
      </c>
      <c r="H21" s="164"/>
      <c r="I21" s="167">
        <v>2022</v>
      </c>
      <c r="J21" s="221" t="s">
        <v>4</v>
      </c>
      <c r="K21" s="129"/>
    </row>
    <row r="22" spans="1:11" ht="12.75">
      <c r="A22" s="28">
        <v>5</v>
      </c>
      <c r="B22" s="162" t="s">
        <v>21</v>
      </c>
      <c r="C22" s="162" t="s">
        <v>194</v>
      </c>
      <c r="D22" s="140"/>
      <c r="E22" s="140"/>
      <c r="F22" s="137"/>
      <c r="G22" s="254">
        <f>861.5+1506.92-32.23+1591.28</f>
        <v>3927.4700000000003</v>
      </c>
      <c r="H22" s="146"/>
      <c r="I22" s="167">
        <v>2022</v>
      </c>
      <c r="J22" s="229"/>
      <c r="K22" s="231"/>
    </row>
    <row r="23" spans="1:11" ht="12.75">
      <c r="A23" s="28">
        <v>6</v>
      </c>
      <c r="B23" s="22"/>
      <c r="C23" s="22"/>
      <c r="D23" s="2"/>
      <c r="E23" s="2"/>
      <c r="F23" s="3"/>
      <c r="G23" s="206"/>
      <c r="H23" s="65"/>
      <c r="I23" s="197"/>
      <c r="J23" s="217"/>
      <c r="K23" s="129"/>
    </row>
    <row r="24" spans="1:11" ht="12.75">
      <c r="A24" s="77">
        <v>7</v>
      </c>
      <c r="B24" s="230"/>
      <c r="C24" s="154"/>
      <c r="D24" s="156"/>
      <c r="E24" s="157"/>
      <c r="F24" s="158"/>
      <c r="G24" s="181"/>
      <c r="H24" s="157"/>
      <c r="I24" s="157"/>
      <c r="J24" s="166"/>
      <c r="K24" s="184"/>
    </row>
    <row r="25" spans="1:11" ht="12.75">
      <c r="A25" s="28">
        <v>8</v>
      </c>
      <c r="B25" s="138"/>
      <c r="C25" s="159"/>
      <c r="D25" s="139"/>
      <c r="E25" s="140"/>
      <c r="F25" s="141"/>
      <c r="G25" s="176"/>
      <c r="H25" s="140"/>
      <c r="I25" s="140"/>
      <c r="J25" s="144"/>
      <c r="K25" s="199"/>
    </row>
    <row r="26" spans="1:11" ht="12.75">
      <c r="A26" s="28">
        <v>9</v>
      </c>
      <c r="B26" s="138"/>
      <c r="C26" s="159"/>
      <c r="D26" s="139"/>
      <c r="E26" s="140"/>
      <c r="F26" s="141"/>
      <c r="G26" s="176"/>
      <c r="H26" s="4"/>
      <c r="I26" s="4"/>
      <c r="J26" s="34"/>
      <c r="K26" s="24"/>
    </row>
    <row r="27" spans="1:11" ht="12.75">
      <c r="A27" s="28">
        <v>10</v>
      </c>
      <c r="B27" s="138"/>
      <c r="C27" s="159"/>
      <c r="D27" s="139"/>
      <c r="E27" s="140"/>
      <c r="F27" s="141"/>
      <c r="G27" s="137"/>
      <c r="H27" s="4"/>
      <c r="I27" s="4"/>
      <c r="J27" s="34"/>
      <c r="K27" s="24"/>
    </row>
    <row r="28" spans="1:11" ht="12.75">
      <c r="A28" s="28">
        <v>11</v>
      </c>
      <c r="B28" s="138"/>
      <c r="C28" s="159"/>
      <c r="D28" s="139"/>
      <c r="E28" s="140"/>
      <c r="F28" s="141"/>
      <c r="G28" s="137"/>
      <c r="H28" s="4"/>
      <c r="I28" s="4"/>
      <c r="J28" s="34"/>
      <c r="K28" s="24"/>
    </row>
    <row r="29" spans="1:11" ht="12.75">
      <c r="A29" s="28">
        <v>12</v>
      </c>
      <c r="B29" s="138"/>
      <c r="C29" s="159"/>
      <c r="D29" s="139"/>
      <c r="E29" s="140"/>
      <c r="F29" s="141"/>
      <c r="G29" s="137"/>
      <c r="H29" s="4"/>
      <c r="I29" s="4"/>
      <c r="J29" s="34"/>
      <c r="K29" s="24"/>
    </row>
    <row r="30" spans="1:11" ht="12.75">
      <c r="A30" s="28">
        <v>13</v>
      </c>
      <c r="B30" s="138"/>
      <c r="C30" s="159"/>
      <c r="D30" s="139"/>
      <c r="E30" s="140"/>
      <c r="F30" s="141"/>
      <c r="G30" s="137"/>
      <c r="H30" s="4"/>
      <c r="I30" s="4"/>
      <c r="J30" s="34"/>
      <c r="K30" s="24"/>
    </row>
    <row r="31" spans="1:11" ht="12.75">
      <c r="A31" s="28">
        <v>14</v>
      </c>
      <c r="B31" s="138"/>
      <c r="C31" s="159"/>
      <c r="D31" s="139"/>
      <c r="E31" s="140"/>
      <c r="F31" s="141"/>
      <c r="G31" s="137"/>
      <c r="H31" s="4"/>
      <c r="I31" s="4"/>
      <c r="J31" s="34"/>
      <c r="K31" s="24"/>
    </row>
    <row r="32" spans="1:11" ht="12.75">
      <c r="A32" s="28">
        <v>15</v>
      </c>
      <c r="B32" s="138"/>
      <c r="C32" s="159"/>
      <c r="D32" s="139"/>
      <c r="E32" s="140"/>
      <c r="F32" s="141"/>
      <c r="G32" s="137"/>
      <c r="H32" s="4"/>
      <c r="I32" s="4"/>
      <c r="J32" s="34"/>
      <c r="K32" s="24"/>
    </row>
    <row r="33" spans="1:11" ht="12.75">
      <c r="A33" s="28">
        <v>16</v>
      </c>
      <c r="B33" s="160"/>
      <c r="C33" s="136"/>
      <c r="D33" s="144"/>
      <c r="E33" s="88"/>
      <c r="F33" s="145"/>
      <c r="G33" s="153"/>
      <c r="H33" s="2"/>
      <c r="I33" s="2"/>
      <c r="J33" s="25"/>
      <c r="K33" s="24"/>
    </row>
    <row r="34" spans="1:11" ht="13.5" thickBot="1">
      <c r="A34" s="96">
        <v>17</v>
      </c>
      <c r="B34" s="97"/>
      <c r="C34" s="98"/>
      <c r="D34" s="99"/>
      <c r="E34" s="100"/>
      <c r="F34" s="101"/>
      <c r="G34" s="102"/>
      <c r="H34" s="100"/>
      <c r="I34" s="100"/>
      <c r="J34" s="99"/>
      <c r="K34" s="103"/>
    </row>
    <row r="35" spans="1:11" ht="13.5" thickBot="1">
      <c r="A35" s="74"/>
      <c r="B35" s="75"/>
      <c r="C35" s="43"/>
      <c r="D35" s="76"/>
      <c r="E35" s="21"/>
      <c r="F35" s="73"/>
      <c r="G35" s="36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250000</v>
      </c>
      <c r="G36" s="44">
        <f>SUM(G18:G34)</f>
        <v>232369.28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F20</f>
        <v>50000</v>
      </c>
      <c r="G37" s="42">
        <f>G21</f>
        <v>253.79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200000</v>
      </c>
      <c r="G38" s="42">
        <f>G36-G37</f>
        <v>232115.49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10031.48999999999</v>
      </c>
      <c r="G39" s="46">
        <f>G16-G36</f>
        <v>28178.00999999998</v>
      </c>
      <c r="H39" s="294"/>
      <c r="I39" s="295"/>
      <c r="J39" s="29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0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0" t="s">
        <v>165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9:E39"/>
    <mergeCell ref="H39:J39"/>
    <mergeCell ref="B37:E37"/>
    <mergeCell ref="H37:J37"/>
    <mergeCell ref="B38:E38"/>
    <mergeCell ref="H38:J38"/>
    <mergeCell ref="A3:K3"/>
    <mergeCell ref="A4:K4"/>
    <mergeCell ref="A6:A7"/>
    <mergeCell ref="B6:B7"/>
    <mergeCell ref="C6:C7"/>
    <mergeCell ref="D6:D7"/>
    <mergeCell ref="E6:E7"/>
    <mergeCell ref="F6:F7"/>
    <mergeCell ref="H6:H7"/>
    <mergeCell ref="G6:G7"/>
    <mergeCell ref="H36:J36"/>
    <mergeCell ref="A15:E15"/>
    <mergeCell ref="H13:J13"/>
    <mergeCell ref="A14:E14"/>
    <mergeCell ref="A16:E16"/>
    <mergeCell ref="A36:E36"/>
    <mergeCell ref="A13:E13"/>
    <mergeCell ref="H16:J16"/>
    <mergeCell ref="H15:K15"/>
    <mergeCell ref="H14:K14"/>
    <mergeCell ref="J6:J7"/>
    <mergeCell ref="A11:E11"/>
    <mergeCell ref="A12:E12"/>
    <mergeCell ref="H12:J12"/>
    <mergeCell ref="H11:K11"/>
    <mergeCell ref="I6:I7"/>
    <mergeCell ref="K6:K7"/>
    <mergeCell ref="A9:K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2">
      <selection activeCell="F23" sqref="F23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38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15</v>
      </c>
      <c r="D10" s="17">
        <v>5359.66</v>
      </c>
      <c r="E10" s="18" t="s">
        <v>5</v>
      </c>
      <c r="F10" s="19"/>
      <c r="G10" s="121"/>
      <c r="H10" s="11" t="s">
        <v>7</v>
      </c>
      <c r="I10" s="12">
        <v>2.5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v>189349.7</v>
      </c>
      <c r="G11" s="44">
        <v>189349.7</v>
      </c>
      <c r="H11" s="337"/>
      <c r="I11" s="334"/>
      <c r="J11" s="334"/>
      <c r="K11" s="338"/>
    </row>
    <row r="12" spans="1:11" s="14" customFormat="1" ht="13.5" customHeight="1">
      <c r="A12" s="298" t="s">
        <v>24</v>
      </c>
      <c r="B12" s="299"/>
      <c r="C12" s="299"/>
      <c r="D12" s="299"/>
      <c r="E12" s="299"/>
      <c r="F12" s="41">
        <v>175000</v>
      </c>
      <c r="G12" s="205">
        <v>160790.04</v>
      </c>
      <c r="H12" s="302"/>
      <c r="I12" s="303"/>
      <c r="J12" s="303"/>
      <c r="K12" s="53"/>
    </row>
    <row r="13" spans="1:11" s="14" customFormat="1" ht="13.5" customHeight="1">
      <c r="A13" s="298" t="s">
        <v>28</v>
      </c>
      <c r="B13" s="299"/>
      <c r="C13" s="299"/>
      <c r="D13" s="299"/>
      <c r="E13" s="299"/>
      <c r="F13" s="41">
        <f>-(D10*12*0)</f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41">
        <v>0</v>
      </c>
      <c r="G14" s="41">
        <v>0</v>
      </c>
      <c r="H14" s="306"/>
      <c r="I14" s="307"/>
      <c r="J14" s="307"/>
      <c r="K14" s="308"/>
    </row>
    <row r="15" spans="1:11" s="14" customFormat="1" ht="13.5" customHeight="1">
      <c r="A15" s="298" t="s">
        <v>63</v>
      </c>
      <c r="B15" s="299"/>
      <c r="C15" s="299"/>
      <c r="D15" s="299"/>
      <c r="E15" s="299"/>
      <c r="F15" s="41">
        <v>0</v>
      </c>
      <c r="G15" s="41">
        <v>0</v>
      </c>
      <c r="H15" s="304"/>
      <c r="I15" s="303"/>
      <c r="J15" s="303"/>
      <c r="K15" s="305"/>
    </row>
    <row r="16" spans="1:11" s="39" customFormat="1" ht="12.75" customHeight="1" thickBot="1">
      <c r="A16" s="292" t="s">
        <v>72</v>
      </c>
      <c r="B16" s="293"/>
      <c r="C16" s="293"/>
      <c r="D16" s="293"/>
      <c r="E16" s="293"/>
      <c r="F16" s="45">
        <f>F11+F12+F13+F14+F15</f>
        <v>364349.7</v>
      </c>
      <c r="G16" s="45">
        <f>G11+G12+G13+G14+G15</f>
        <v>350139.74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9">
        <v>1</v>
      </c>
      <c r="B18" s="81" t="s">
        <v>16</v>
      </c>
      <c r="C18" s="90" t="s">
        <v>99</v>
      </c>
      <c r="D18" s="85"/>
      <c r="E18" s="85"/>
      <c r="F18" s="91">
        <v>150000</v>
      </c>
      <c r="G18" s="264">
        <f>132732</f>
        <v>132732</v>
      </c>
      <c r="H18" s="109"/>
      <c r="I18" s="85" t="s">
        <v>189</v>
      </c>
      <c r="J18" s="211" t="s">
        <v>3</v>
      </c>
      <c r="K18" s="86"/>
    </row>
    <row r="19" spans="1:11" ht="12.75">
      <c r="A19" s="29">
        <v>2</v>
      </c>
      <c r="B19" s="22" t="s">
        <v>23</v>
      </c>
      <c r="C19" s="22" t="s">
        <v>18</v>
      </c>
      <c r="D19" s="2"/>
      <c r="E19" s="2"/>
      <c r="F19" s="3">
        <v>50000</v>
      </c>
      <c r="G19" s="175"/>
      <c r="H19" s="65"/>
      <c r="I19" s="2"/>
      <c r="J19" s="217" t="s">
        <v>4</v>
      </c>
      <c r="K19" s="161"/>
    </row>
    <row r="20" spans="1:11" ht="12.75">
      <c r="A20" s="29">
        <v>3</v>
      </c>
      <c r="B20" s="143" t="s">
        <v>137</v>
      </c>
      <c r="C20" s="162" t="s">
        <v>195</v>
      </c>
      <c r="D20" s="88"/>
      <c r="E20" s="88"/>
      <c r="F20" s="141"/>
      <c r="G20" s="254">
        <v>11030.81</v>
      </c>
      <c r="H20" s="140"/>
      <c r="I20" s="167" t="s">
        <v>161</v>
      </c>
      <c r="J20" s="166" t="s">
        <v>3</v>
      </c>
      <c r="K20" s="169"/>
    </row>
    <row r="21" spans="1:11" ht="12.75">
      <c r="A21" s="28">
        <v>4</v>
      </c>
      <c r="B21" s="143" t="s">
        <v>137</v>
      </c>
      <c r="C21" s="143" t="s">
        <v>136</v>
      </c>
      <c r="D21" s="88"/>
      <c r="E21" s="88"/>
      <c r="F21" s="153"/>
      <c r="G21" s="254">
        <v>19224</v>
      </c>
      <c r="H21" s="140"/>
      <c r="I21" s="167" t="s">
        <v>161</v>
      </c>
      <c r="J21" s="166" t="s">
        <v>3</v>
      </c>
      <c r="K21" s="170"/>
    </row>
    <row r="22" spans="1:11" ht="12.75">
      <c r="A22" s="28">
        <v>5</v>
      </c>
      <c r="B22" s="143" t="s">
        <v>137</v>
      </c>
      <c r="C22" s="159" t="s">
        <v>106</v>
      </c>
      <c r="D22" s="139"/>
      <c r="E22" s="140"/>
      <c r="F22" s="141"/>
      <c r="G22" s="254">
        <v>61603.74</v>
      </c>
      <c r="H22" s="140"/>
      <c r="I22" s="140" t="s">
        <v>160</v>
      </c>
      <c r="J22" s="139" t="s">
        <v>3</v>
      </c>
      <c r="K22" s="243" t="s">
        <v>138</v>
      </c>
    </row>
    <row r="23" spans="1:11" ht="12.75">
      <c r="A23" s="28">
        <v>6</v>
      </c>
      <c r="B23" s="143" t="s">
        <v>137</v>
      </c>
      <c r="C23" s="143" t="s">
        <v>197</v>
      </c>
      <c r="D23" s="144"/>
      <c r="E23" s="88"/>
      <c r="F23" s="145"/>
      <c r="G23" s="256">
        <v>20910</v>
      </c>
      <c r="H23" s="88"/>
      <c r="I23" s="88" t="s">
        <v>177</v>
      </c>
      <c r="J23" s="144" t="s">
        <v>3</v>
      </c>
      <c r="K23" s="195" t="s">
        <v>196</v>
      </c>
    </row>
    <row r="24" spans="1:11" ht="12.75">
      <c r="A24" s="77">
        <v>7</v>
      </c>
      <c r="B24" s="154"/>
      <c r="C24" s="155"/>
      <c r="D24" s="156"/>
      <c r="E24" s="157"/>
      <c r="F24" s="158"/>
      <c r="G24" s="181"/>
      <c r="H24" s="157"/>
      <c r="I24" s="157"/>
      <c r="J24" s="166"/>
      <c r="K24" s="242"/>
    </row>
    <row r="25" spans="1:11" ht="12.75">
      <c r="A25" s="28">
        <v>8</v>
      </c>
      <c r="B25" s="138"/>
      <c r="C25" s="159"/>
      <c r="D25" s="139"/>
      <c r="E25" s="140"/>
      <c r="F25" s="141"/>
      <c r="G25" s="137"/>
      <c r="H25" s="140"/>
      <c r="I25" s="140"/>
      <c r="J25" s="144"/>
      <c r="K25" s="170"/>
    </row>
    <row r="26" spans="1:11" ht="12.75">
      <c r="A26" s="28">
        <v>9</v>
      </c>
      <c r="B26" s="138"/>
      <c r="C26" s="159"/>
      <c r="D26" s="139"/>
      <c r="E26" s="140"/>
      <c r="F26" s="141"/>
      <c r="G26" s="137"/>
      <c r="H26" s="140"/>
      <c r="I26" s="140"/>
      <c r="J26" s="139"/>
      <c r="K26" s="170"/>
    </row>
    <row r="27" spans="1:11" ht="12.75">
      <c r="A27" s="28">
        <v>10</v>
      </c>
      <c r="B27" s="138"/>
      <c r="C27" s="159"/>
      <c r="D27" s="139"/>
      <c r="E27" s="140"/>
      <c r="F27" s="141"/>
      <c r="G27" s="137"/>
      <c r="H27" s="140"/>
      <c r="I27" s="140"/>
      <c r="J27" s="139"/>
      <c r="K27" s="170"/>
    </row>
    <row r="28" spans="1:11" ht="12.75">
      <c r="A28" s="28">
        <v>11</v>
      </c>
      <c r="B28" s="138"/>
      <c r="C28" s="159"/>
      <c r="D28" s="139"/>
      <c r="E28" s="140"/>
      <c r="F28" s="141"/>
      <c r="G28" s="137"/>
      <c r="H28" s="140"/>
      <c r="I28" s="140"/>
      <c r="J28" s="139"/>
      <c r="K28" s="170"/>
    </row>
    <row r="29" spans="1:11" ht="12.75">
      <c r="A29" s="28">
        <v>12</v>
      </c>
      <c r="B29" s="138"/>
      <c r="C29" s="159"/>
      <c r="D29" s="139"/>
      <c r="E29" s="140"/>
      <c r="F29" s="141"/>
      <c r="G29" s="137"/>
      <c r="H29" s="4"/>
      <c r="I29" s="4"/>
      <c r="J29" s="34"/>
      <c r="K29" s="24"/>
    </row>
    <row r="30" spans="1:11" ht="12.75">
      <c r="A30" s="28">
        <v>13</v>
      </c>
      <c r="B30" s="138"/>
      <c r="C30" s="159"/>
      <c r="D30" s="139"/>
      <c r="E30" s="140"/>
      <c r="F30" s="141"/>
      <c r="G30" s="137"/>
      <c r="H30" s="4"/>
      <c r="I30" s="4"/>
      <c r="J30" s="34"/>
      <c r="K30" s="24"/>
    </row>
    <row r="31" spans="1:11" ht="12.75">
      <c r="A31" s="28">
        <v>14</v>
      </c>
      <c r="B31" s="138"/>
      <c r="C31" s="159"/>
      <c r="D31" s="139"/>
      <c r="E31" s="140"/>
      <c r="F31" s="141"/>
      <c r="G31" s="137"/>
      <c r="H31" s="4"/>
      <c r="I31" s="4"/>
      <c r="J31" s="34"/>
      <c r="K31" s="24"/>
    </row>
    <row r="32" spans="1:11" ht="12.75">
      <c r="A32" s="28">
        <v>15</v>
      </c>
      <c r="B32" s="138"/>
      <c r="C32" s="159"/>
      <c r="D32" s="139"/>
      <c r="E32" s="140"/>
      <c r="F32" s="141"/>
      <c r="G32" s="137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96">
        <v>17</v>
      </c>
      <c r="B34" s="97"/>
      <c r="C34" s="98"/>
      <c r="D34" s="99"/>
      <c r="E34" s="100"/>
      <c r="F34" s="101"/>
      <c r="G34" s="102"/>
      <c r="H34" s="100"/>
      <c r="I34" s="100"/>
      <c r="J34" s="99"/>
      <c r="K34" s="103"/>
    </row>
    <row r="35" spans="1:11" ht="13.5" thickBot="1">
      <c r="A35" s="74"/>
      <c r="B35" s="75"/>
      <c r="C35" s="43"/>
      <c r="D35" s="76"/>
      <c r="E35" s="21"/>
      <c r="F35" s="73"/>
      <c r="G35" s="36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200000</v>
      </c>
      <c r="G36" s="44">
        <f>SUM(G18:G34)</f>
        <v>245500.55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F19</f>
        <v>50000</v>
      </c>
      <c r="G37" s="42">
        <f>G19</f>
        <v>0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150000</v>
      </c>
      <c r="G38" s="42">
        <f>G36-G37</f>
        <v>245500.55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164349.7</v>
      </c>
      <c r="G39" s="46">
        <f>G16-G36</f>
        <v>104639.19</v>
      </c>
      <c r="H39" s="294"/>
      <c r="I39" s="295"/>
      <c r="J39" s="29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0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0" t="s">
        <v>166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K6:K7"/>
    <mergeCell ref="H6:H7"/>
    <mergeCell ref="A13:E13"/>
    <mergeCell ref="H13:J13"/>
    <mergeCell ref="I6:I7"/>
    <mergeCell ref="J6:J7"/>
    <mergeCell ref="F6:F7"/>
    <mergeCell ref="A11:E11"/>
    <mergeCell ref="A12:E12"/>
    <mergeCell ref="H12:J12"/>
    <mergeCell ref="A9:K9"/>
    <mergeCell ref="G6:G7"/>
    <mergeCell ref="A39:E39"/>
    <mergeCell ref="H39:J39"/>
    <mergeCell ref="H11:K11"/>
    <mergeCell ref="D6:D7"/>
    <mergeCell ref="E6:E7"/>
    <mergeCell ref="A36:E36"/>
    <mergeCell ref="H36:J36"/>
    <mergeCell ref="A14:E14"/>
    <mergeCell ref="A15:E15"/>
    <mergeCell ref="A16:E16"/>
    <mergeCell ref="H15:K15"/>
    <mergeCell ref="H14:K14"/>
    <mergeCell ref="H16:J16"/>
    <mergeCell ref="B37:E37"/>
    <mergeCell ref="H37:J37"/>
    <mergeCell ref="B38:E38"/>
    <mergeCell ref="H38:J38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3">
      <selection activeCell="G23" sqref="G23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39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15</v>
      </c>
      <c r="D10" s="17">
        <v>18895.4</v>
      </c>
      <c r="E10" s="18" t="s">
        <v>5</v>
      </c>
      <c r="F10" s="19"/>
      <c r="G10" s="121"/>
      <c r="H10" s="11" t="s">
        <v>7</v>
      </c>
      <c r="I10" s="12">
        <v>2.2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v>489917.61</v>
      </c>
      <c r="G11" s="44">
        <v>489917.61</v>
      </c>
      <c r="H11" s="337"/>
      <c r="I11" s="334"/>
      <c r="J11" s="334"/>
      <c r="K11" s="338"/>
    </row>
    <row r="12" spans="1:11" s="14" customFormat="1" ht="13.5" customHeight="1">
      <c r="A12" s="298" t="s">
        <v>24</v>
      </c>
      <c r="B12" s="299"/>
      <c r="C12" s="299"/>
      <c r="D12" s="299"/>
      <c r="E12" s="299"/>
      <c r="F12" s="41">
        <v>500000</v>
      </c>
      <c r="G12" s="205">
        <f>152856+114903.36+115288.8+115790.4</f>
        <v>498838.55999999994</v>
      </c>
      <c r="H12" s="302"/>
      <c r="I12" s="303"/>
      <c r="J12" s="303"/>
      <c r="K12" s="53"/>
    </row>
    <row r="13" spans="1:11" s="14" customFormat="1" ht="13.5" customHeight="1">
      <c r="A13" s="298" t="s">
        <v>28</v>
      </c>
      <c r="B13" s="299"/>
      <c r="C13" s="299"/>
      <c r="D13" s="299"/>
      <c r="E13" s="299"/>
      <c r="F13" s="41">
        <f>-(D10*12*0)</f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41">
        <v>0</v>
      </c>
      <c r="G14" s="41">
        <v>0</v>
      </c>
      <c r="H14" s="306"/>
      <c r="I14" s="307"/>
      <c r="J14" s="307"/>
      <c r="K14" s="308"/>
    </row>
    <row r="15" spans="1:11" s="14" customFormat="1" ht="13.5" customHeight="1">
      <c r="A15" s="298" t="s">
        <v>63</v>
      </c>
      <c r="B15" s="299"/>
      <c r="C15" s="299"/>
      <c r="D15" s="299"/>
      <c r="E15" s="299"/>
      <c r="F15" s="41">
        <v>0</v>
      </c>
      <c r="G15" s="41">
        <v>0</v>
      </c>
      <c r="H15" s="304"/>
      <c r="I15" s="303"/>
      <c r="J15" s="303"/>
      <c r="K15" s="305"/>
    </row>
    <row r="16" spans="1:11" s="39" customFormat="1" ht="12.75" customHeight="1" thickBot="1">
      <c r="A16" s="292" t="s">
        <v>72</v>
      </c>
      <c r="B16" s="293"/>
      <c r="C16" s="293"/>
      <c r="D16" s="293"/>
      <c r="E16" s="293"/>
      <c r="F16" s="45">
        <f>F11+F12+F13+F14+F15</f>
        <v>989917.61</v>
      </c>
      <c r="G16" s="45">
        <f>G11+G12+G13+G14+G15</f>
        <v>988756.1699999999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9">
        <v>1</v>
      </c>
      <c r="B18" s="67" t="s">
        <v>88</v>
      </c>
      <c r="C18" s="90" t="s">
        <v>99</v>
      </c>
      <c r="D18" s="83"/>
      <c r="E18" s="83"/>
      <c r="F18" s="84">
        <v>200000</v>
      </c>
      <c r="G18" s="265">
        <v>173552.3</v>
      </c>
      <c r="H18" s="68"/>
      <c r="I18" s="83" t="s">
        <v>189</v>
      </c>
      <c r="J18" s="218" t="s">
        <v>3</v>
      </c>
      <c r="K18" s="165"/>
    </row>
    <row r="19" spans="1:11" ht="12.75">
      <c r="A19" s="29">
        <v>2</v>
      </c>
      <c r="B19" s="122" t="s">
        <v>115</v>
      </c>
      <c r="C19" s="30" t="s">
        <v>114</v>
      </c>
      <c r="D19" s="2"/>
      <c r="E19" s="2"/>
      <c r="F19" s="64">
        <v>600000</v>
      </c>
      <c r="G19" s="257">
        <v>640418.06</v>
      </c>
      <c r="H19" s="65"/>
      <c r="I19" s="123"/>
      <c r="J19" s="217" t="s">
        <v>3</v>
      </c>
      <c r="K19" s="129"/>
    </row>
    <row r="20" spans="1:11" ht="12.75">
      <c r="A20" s="29">
        <v>3</v>
      </c>
      <c r="B20" s="122" t="s">
        <v>22</v>
      </c>
      <c r="C20" s="30" t="s">
        <v>18</v>
      </c>
      <c r="D20" s="2"/>
      <c r="E20" s="2"/>
      <c r="F20" s="64">
        <v>50000</v>
      </c>
      <c r="G20" s="175"/>
      <c r="H20" s="65"/>
      <c r="I20" s="2"/>
      <c r="J20" s="217" t="s">
        <v>4</v>
      </c>
      <c r="K20" s="127"/>
    </row>
    <row r="21" spans="1:11" ht="12.75">
      <c r="A21" s="29">
        <v>4</v>
      </c>
      <c r="B21" s="223" t="s">
        <v>141</v>
      </c>
      <c r="C21" s="162" t="s">
        <v>135</v>
      </c>
      <c r="D21" s="88"/>
      <c r="E21" s="88"/>
      <c r="F21" s="145"/>
      <c r="G21" s="256">
        <f>5630.99+2292.31+2310.01</f>
        <v>10233.31</v>
      </c>
      <c r="H21" s="164"/>
      <c r="I21" s="88">
        <v>2022</v>
      </c>
      <c r="J21" s="221" t="s">
        <v>3</v>
      </c>
      <c r="K21" s="169"/>
    </row>
    <row r="22" spans="1:11" ht="12.75">
      <c r="A22" s="23">
        <v>5</v>
      </c>
      <c r="B22" s="138" t="s">
        <v>139</v>
      </c>
      <c r="C22" s="162" t="s">
        <v>140</v>
      </c>
      <c r="D22" s="88"/>
      <c r="E22" s="88"/>
      <c r="F22" s="153"/>
      <c r="G22" s="254">
        <f>6486.37</f>
        <v>6486.37</v>
      </c>
      <c r="H22" s="140"/>
      <c r="I22" s="140" t="s">
        <v>161</v>
      </c>
      <c r="J22" s="88" t="s">
        <v>3</v>
      </c>
      <c r="K22" s="170"/>
    </row>
    <row r="23" spans="1:11" ht="12.75">
      <c r="A23" s="23">
        <v>6</v>
      </c>
      <c r="B23" s="143" t="s">
        <v>115</v>
      </c>
      <c r="C23" s="162" t="s">
        <v>106</v>
      </c>
      <c r="D23" s="88"/>
      <c r="E23" s="88"/>
      <c r="F23" s="153"/>
      <c r="G23" s="256">
        <f>21560.58+393.6</f>
        <v>21954.18</v>
      </c>
      <c r="H23" s="88"/>
      <c r="I23" s="140" t="s">
        <v>160</v>
      </c>
      <c r="J23" s="88" t="s">
        <v>3</v>
      </c>
      <c r="K23" s="185" t="s">
        <v>138</v>
      </c>
    </row>
    <row r="24" spans="1:11" ht="12.75">
      <c r="A24" s="28">
        <v>7</v>
      </c>
      <c r="B24" s="223" t="s">
        <v>159</v>
      </c>
      <c r="C24" s="162" t="s">
        <v>158</v>
      </c>
      <c r="D24" s="88"/>
      <c r="E24" s="88"/>
      <c r="F24" s="145"/>
      <c r="G24" s="256">
        <f>12528+1660.5</f>
        <v>14188.5</v>
      </c>
      <c r="H24" s="164"/>
      <c r="I24" s="88">
        <v>2022</v>
      </c>
      <c r="J24" s="221" t="s">
        <v>3</v>
      </c>
      <c r="K24" s="195"/>
    </row>
    <row r="25" spans="1:11" ht="12.75">
      <c r="A25" s="28">
        <v>8</v>
      </c>
      <c r="B25" s="223"/>
      <c r="C25" s="162"/>
      <c r="D25" s="88"/>
      <c r="E25" s="88"/>
      <c r="F25" s="145"/>
      <c r="G25" s="256"/>
      <c r="H25" s="164"/>
      <c r="I25" s="167"/>
      <c r="J25" s="221"/>
      <c r="K25" s="170"/>
    </row>
    <row r="26" spans="1:11" ht="12.75">
      <c r="A26" s="28">
        <v>9</v>
      </c>
      <c r="B26" s="138"/>
      <c r="C26" s="159"/>
      <c r="D26" s="139"/>
      <c r="E26" s="140"/>
      <c r="F26" s="141"/>
      <c r="G26" s="176"/>
      <c r="H26" s="157"/>
      <c r="I26" s="140"/>
      <c r="J26" s="139"/>
      <c r="K26" s="170"/>
    </row>
    <row r="27" spans="1:11" ht="12.75">
      <c r="A27" s="28">
        <v>10</v>
      </c>
      <c r="B27" s="138"/>
      <c r="C27" s="159"/>
      <c r="D27" s="139"/>
      <c r="E27" s="140"/>
      <c r="F27" s="141"/>
      <c r="G27" s="176"/>
      <c r="H27" s="88"/>
      <c r="I27" s="140"/>
      <c r="J27" s="139"/>
      <c r="K27" s="170"/>
    </row>
    <row r="28" spans="1:11" ht="12.75">
      <c r="A28" s="28">
        <v>11</v>
      </c>
      <c r="B28" s="138"/>
      <c r="C28" s="159"/>
      <c r="D28" s="139"/>
      <c r="E28" s="140"/>
      <c r="F28" s="141"/>
      <c r="G28" s="176"/>
      <c r="H28" s="157"/>
      <c r="I28" s="140"/>
      <c r="J28" s="139"/>
      <c r="K28" s="170"/>
    </row>
    <row r="29" spans="1:11" ht="12.75">
      <c r="A29" s="28">
        <v>12</v>
      </c>
      <c r="B29" s="138"/>
      <c r="C29" s="159"/>
      <c r="D29" s="139"/>
      <c r="E29" s="140"/>
      <c r="F29" s="141"/>
      <c r="G29" s="176"/>
      <c r="H29" s="88"/>
      <c r="I29" s="140"/>
      <c r="J29" s="139"/>
      <c r="K29" s="24"/>
    </row>
    <row r="30" spans="1:11" ht="12.75">
      <c r="A30" s="28">
        <v>13</v>
      </c>
      <c r="B30" s="138"/>
      <c r="C30" s="159"/>
      <c r="D30" s="139"/>
      <c r="E30" s="140"/>
      <c r="F30" s="141"/>
      <c r="G30" s="176"/>
      <c r="H30" s="88"/>
      <c r="I30" s="140"/>
      <c r="J30" s="139"/>
      <c r="K30" s="24"/>
    </row>
    <row r="31" spans="1:11" ht="12.75">
      <c r="A31" s="28">
        <v>14</v>
      </c>
      <c r="B31" s="138"/>
      <c r="C31" s="159"/>
      <c r="D31" s="139"/>
      <c r="E31" s="140"/>
      <c r="F31" s="141"/>
      <c r="G31" s="176"/>
      <c r="H31" s="157"/>
      <c r="I31" s="140"/>
      <c r="J31" s="139"/>
      <c r="K31" s="24"/>
    </row>
    <row r="32" spans="1:11" ht="12.75">
      <c r="A32" s="28">
        <v>15</v>
      </c>
      <c r="B32" s="138"/>
      <c r="C32" s="159"/>
      <c r="D32" s="139"/>
      <c r="E32" s="140"/>
      <c r="F32" s="141"/>
      <c r="G32" s="176"/>
      <c r="H32" s="140"/>
      <c r="I32" s="140"/>
      <c r="J32" s="139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175"/>
      <c r="H33" s="2"/>
      <c r="I33" s="2"/>
      <c r="J33" s="25"/>
      <c r="K33" s="24"/>
    </row>
    <row r="34" spans="1:11" ht="13.5" thickBot="1">
      <c r="A34" s="96">
        <v>17</v>
      </c>
      <c r="B34" s="97"/>
      <c r="C34" s="98"/>
      <c r="D34" s="99"/>
      <c r="E34" s="100"/>
      <c r="F34" s="101"/>
      <c r="G34" s="102"/>
      <c r="H34" s="100"/>
      <c r="I34" s="100"/>
      <c r="J34" s="99"/>
      <c r="K34" s="103"/>
    </row>
    <row r="35" spans="1:11" ht="13.5" thickBot="1">
      <c r="A35" s="74"/>
      <c r="B35" s="75"/>
      <c r="C35" s="43"/>
      <c r="D35" s="76"/>
      <c r="E35" s="21"/>
      <c r="F35" s="73"/>
      <c r="G35" s="36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850000</v>
      </c>
      <c r="G36" s="44">
        <f>SUM(G18:G34)</f>
        <v>866832.7200000002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F20</f>
        <v>50000</v>
      </c>
      <c r="G37" s="42">
        <v>0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800000</v>
      </c>
      <c r="G38" s="42">
        <f>G36-G37</f>
        <v>866832.7200000002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139917.61</v>
      </c>
      <c r="G39" s="46">
        <f>G16-G36</f>
        <v>121923.44999999972</v>
      </c>
      <c r="H39" s="294"/>
      <c r="I39" s="295"/>
      <c r="J39" s="29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0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0" t="s">
        <v>167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K6:K7"/>
    <mergeCell ref="H6:H7"/>
    <mergeCell ref="A13:E13"/>
    <mergeCell ref="H13:J13"/>
    <mergeCell ref="I6:I7"/>
    <mergeCell ref="J6:J7"/>
    <mergeCell ref="F6:F7"/>
    <mergeCell ref="A11:E11"/>
    <mergeCell ref="A12:E12"/>
    <mergeCell ref="H12:J12"/>
    <mergeCell ref="A9:K9"/>
    <mergeCell ref="G6:G7"/>
    <mergeCell ref="A39:E39"/>
    <mergeCell ref="H39:J39"/>
    <mergeCell ref="H11:K11"/>
    <mergeCell ref="D6:D7"/>
    <mergeCell ref="E6:E7"/>
    <mergeCell ref="A36:E36"/>
    <mergeCell ref="H36:J36"/>
    <mergeCell ref="A14:E14"/>
    <mergeCell ref="A15:E15"/>
    <mergeCell ref="A16:E16"/>
    <mergeCell ref="H15:K15"/>
    <mergeCell ref="H14:K14"/>
    <mergeCell ref="H16:J16"/>
    <mergeCell ref="B37:E37"/>
    <mergeCell ref="H37:J37"/>
    <mergeCell ref="B38:E38"/>
    <mergeCell ref="H38:J38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6">
      <selection activeCell="G26" sqref="G26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40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15</v>
      </c>
      <c r="D10" s="17">
        <v>15366.98</v>
      </c>
      <c r="E10" s="18" t="s">
        <v>5</v>
      </c>
      <c r="F10" s="19"/>
      <c r="G10" s="121"/>
      <c r="H10" s="11" t="s">
        <v>7</v>
      </c>
      <c r="I10" s="12">
        <v>2.2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v>-10211.4</v>
      </c>
      <c r="G11" s="44">
        <v>-10211.39</v>
      </c>
      <c r="H11" s="337"/>
      <c r="I11" s="334"/>
      <c r="J11" s="334"/>
      <c r="K11" s="338"/>
    </row>
    <row r="12" spans="1:11" s="14" customFormat="1" ht="13.5" customHeight="1">
      <c r="A12" s="298" t="s">
        <v>24</v>
      </c>
      <c r="B12" s="299"/>
      <c r="C12" s="299"/>
      <c r="D12" s="299"/>
      <c r="E12" s="299"/>
      <c r="F12" s="41">
        <v>430000</v>
      </c>
      <c r="G12" s="205">
        <f>106540.72+91685.44+61039.12+112749.52+45861.2</f>
        <v>417876</v>
      </c>
      <c r="H12" s="302"/>
      <c r="I12" s="303"/>
      <c r="J12" s="303"/>
      <c r="K12" s="53"/>
    </row>
    <row r="13" spans="1:11" s="14" customFormat="1" ht="13.5" customHeight="1">
      <c r="A13" s="298" t="s">
        <v>28</v>
      </c>
      <c r="B13" s="299"/>
      <c r="C13" s="299"/>
      <c r="D13" s="299"/>
      <c r="E13" s="299"/>
      <c r="F13" s="41">
        <f>-(D10*12*0)</f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41">
        <v>0</v>
      </c>
      <c r="G14" s="41">
        <v>0</v>
      </c>
      <c r="H14" s="306"/>
      <c r="I14" s="307"/>
      <c r="J14" s="307"/>
      <c r="K14" s="308"/>
    </row>
    <row r="15" spans="1:11" s="14" customFormat="1" ht="13.5" customHeight="1">
      <c r="A15" s="298" t="s">
        <v>63</v>
      </c>
      <c r="B15" s="299"/>
      <c r="C15" s="299"/>
      <c r="D15" s="299"/>
      <c r="E15" s="299"/>
      <c r="F15" s="41">
        <v>0</v>
      </c>
      <c r="G15" s="41">
        <v>0</v>
      </c>
      <c r="H15" s="304"/>
      <c r="I15" s="303"/>
      <c r="J15" s="303"/>
      <c r="K15" s="305"/>
    </row>
    <row r="16" spans="1:12" s="39" customFormat="1" ht="12.75" customHeight="1" thickBot="1">
      <c r="A16" s="292" t="s">
        <v>72</v>
      </c>
      <c r="B16" s="293"/>
      <c r="C16" s="293"/>
      <c r="D16" s="293"/>
      <c r="E16" s="293"/>
      <c r="F16" s="45">
        <f>F11+F12+F13+F14+F15</f>
        <v>419788.6</v>
      </c>
      <c r="G16" s="45">
        <f>G11+G12+G13+G14+G15</f>
        <v>407664.61</v>
      </c>
      <c r="H16" s="294"/>
      <c r="I16" s="295"/>
      <c r="J16" s="295"/>
      <c r="K16" s="54"/>
      <c r="L16" s="20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0">
        <v>1</v>
      </c>
      <c r="B18" s="92" t="s">
        <v>85</v>
      </c>
      <c r="C18" s="93" t="s">
        <v>84</v>
      </c>
      <c r="D18" s="213"/>
      <c r="E18" s="83"/>
      <c r="F18" s="94">
        <v>150000</v>
      </c>
      <c r="G18" s="259">
        <f>15139.6+23079.39+7649.18+89114.75+46919.08</f>
        <v>181902</v>
      </c>
      <c r="H18" s="82"/>
      <c r="I18" s="83" t="s">
        <v>198</v>
      </c>
      <c r="J18" s="82" t="s">
        <v>3</v>
      </c>
      <c r="K18" s="95"/>
    </row>
    <row r="19" spans="1:11" ht="12.75">
      <c r="A19" s="29">
        <v>2</v>
      </c>
      <c r="B19" s="30" t="s">
        <v>46</v>
      </c>
      <c r="C19" s="30" t="s">
        <v>18</v>
      </c>
      <c r="D19" s="214"/>
      <c r="E19" s="140"/>
      <c r="F19" s="31">
        <v>50000</v>
      </c>
      <c r="G19" s="252"/>
      <c r="H19" s="65"/>
      <c r="I19" s="123"/>
      <c r="J19" s="217" t="s">
        <v>4</v>
      </c>
      <c r="K19" s="32"/>
    </row>
    <row r="20" spans="1:11" ht="12.75">
      <c r="A20" s="29">
        <v>3</v>
      </c>
      <c r="B20" s="162" t="s">
        <v>46</v>
      </c>
      <c r="C20" s="162" t="s">
        <v>142</v>
      </c>
      <c r="D20" s="214"/>
      <c r="E20" s="140"/>
      <c r="F20" s="137"/>
      <c r="G20" s="254">
        <f>9007.62+12054</f>
        <v>21061.620000000003</v>
      </c>
      <c r="H20" s="164"/>
      <c r="I20" s="167">
        <v>2022</v>
      </c>
      <c r="J20" s="221" t="s">
        <v>3</v>
      </c>
      <c r="K20" s="245"/>
    </row>
    <row r="21" spans="1:11" ht="12.75">
      <c r="A21" s="29">
        <v>4</v>
      </c>
      <c r="B21" s="162" t="s">
        <v>145</v>
      </c>
      <c r="C21" s="162" t="s">
        <v>144</v>
      </c>
      <c r="D21" s="214"/>
      <c r="E21" s="140"/>
      <c r="F21" s="137"/>
      <c r="G21" s="254">
        <f>1745.37</f>
        <v>1745.37</v>
      </c>
      <c r="H21" s="164"/>
      <c r="I21" s="167">
        <v>2022</v>
      </c>
      <c r="J21" s="221" t="s">
        <v>3</v>
      </c>
      <c r="K21" s="32"/>
    </row>
    <row r="22" spans="1:11" ht="12.75">
      <c r="A22" s="29">
        <v>5</v>
      </c>
      <c r="B22" s="162" t="s">
        <v>145</v>
      </c>
      <c r="C22" s="162" t="s">
        <v>106</v>
      </c>
      <c r="D22" s="214"/>
      <c r="E22" s="140"/>
      <c r="F22" s="137"/>
      <c r="G22" s="254">
        <v>23929.02</v>
      </c>
      <c r="H22" s="164"/>
      <c r="I22" s="167" t="s">
        <v>160</v>
      </c>
      <c r="J22" s="221" t="s">
        <v>3</v>
      </c>
      <c r="K22" s="244" t="s">
        <v>138</v>
      </c>
    </row>
    <row r="23" spans="1:11" ht="12.75">
      <c r="A23" s="23">
        <v>6</v>
      </c>
      <c r="B23" s="162" t="s">
        <v>146</v>
      </c>
      <c r="C23" s="162" t="s">
        <v>106</v>
      </c>
      <c r="D23" s="214"/>
      <c r="E23" s="140"/>
      <c r="F23" s="137"/>
      <c r="G23" s="254">
        <v>19373.58</v>
      </c>
      <c r="H23" s="164"/>
      <c r="I23" s="167" t="s">
        <v>160</v>
      </c>
      <c r="J23" s="221" t="s">
        <v>3</v>
      </c>
      <c r="K23" s="244" t="s">
        <v>138</v>
      </c>
    </row>
    <row r="24" spans="1:11" ht="12.75">
      <c r="A24" s="28">
        <v>7</v>
      </c>
      <c r="B24" s="162" t="s">
        <v>148</v>
      </c>
      <c r="C24" s="162" t="s">
        <v>106</v>
      </c>
      <c r="D24" s="214"/>
      <c r="E24" s="140"/>
      <c r="F24" s="137"/>
      <c r="G24" s="254">
        <v>13797</v>
      </c>
      <c r="H24" s="164"/>
      <c r="I24" s="167" t="s">
        <v>160</v>
      </c>
      <c r="J24" s="221" t="s">
        <v>3</v>
      </c>
      <c r="K24" s="244" t="s">
        <v>138</v>
      </c>
    </row>
    <row r="25" spans="1:11" ht="12.75">
      <c r="A25" s="28">
        <v>8</v>
      </c>
      <c r="B25" s="162" t="s">
        <v>149</v>
      </c>
      <c r="C25" s="162" t="s">
        <v>106</v>
      </c>
      <c r="D25" s="214"/>
      <c r="E25" s="140"/>
      <c r="F25" s="137"/>
      <c r="G25" s="254">
        <v>22014.72</v>
      </c>
      <c r="H25" s="164"/>
      <c r="I25" s="246" t="s">
        <v>160</v>
      </c>
      <c r="J25" s="221" t="s">
        <v>3</v>
      </c>
      <c r="K25" s="244" t="s">
        <v>138</v>
      </c>
    </row>
    <row r="26" spans="1:11" ht="12.75">
      <c r="A26" s="28">
        <v>9</v>
      </c>
      <c r="B26" s="162" t="s">
        <v>143</v>
      </c>
      <c r="C26" s="162" t="s">
        <v>106</v>
      </c>
      <c r="D26" s="214"/>
      <c r="E26" s="140"/>
      <c r="F26" s="137"/>
      <c r="G26" s="254">
        <v>8149.68</v>
      </c>
      <c r="H26" s="164"/>
      <c r="I26" s="167" t="s">
        <v>160</v>
      </c>
      <c r="J26" s="221" t="s">
        <v>3</v>
      </c>
      <c r="K26" s="244" t="s">
        <v>138</v>
      </c>
    </row>
    <row r="27" spans="1:11" ht="12.75">
      <c r="A27" s="28">
        <v>10</v>
      </c>
      <c r="B27" s="138" t="s">
        <v>148</v>
      </c>
      <c r="C27" s="162" t="s">
        <v>147</v>
      </c>
      <c r="D27" s="214"/>
      <c r="E27" s="140"/>
      <c r="F27" s="137"/>
      <c r="G27" s="254">
        <v>9131.4</v>
      </c>
      <c r="H27" s="164"/>
      <c r="I27" s="167" t="s">
        <v>161</v>
      </c>
      <c r="J27" s="166" t="s">
        <v>3</v>
      </c>
      <c r="K27" s="170"/>
    </row>
    <row r="28" spans="1:11" ht="12.75">
      <c r="A28" s="28">
        <v>11</v>
      </c>
      <c r="B28" s="138" t="s">
        <v>149</v>
      </c>
      <c r="C28" s="162" t="s">
        <v>150</v>
      </c>
      <c r="D28" s="214"/>
      <c r="E28" s="140"/>
      <c r="F28" s="137"/>
      <c r="G28" s="254">
        <f>9288.4</f>
        <v>9288.4</v>
      </c>
      <c r="H28" s="164"/>
      <c r="I28" s="167" t="s">
        <v>161</v>
      </c>
      <c r="J28" s="221" t="s">
        <v>3</v>
      </c>
      <c r="K28" s="185"/>
    </row>
    <row r="29" spans="1:11" ht="12.75">
      <c r="A29" s="28">
        <v>12</v>
      </c>
      <c r="B29" s="138" t="s">
        <v>149</v>
      </c>
      <c r="C29" s="162" t="s">
        <v>199</v>
      </c>
      <c r="D29" s="214"/>
      <c r="E29" s="140"/>
      <c r="F29" s="137"/>
      <c r="G29" s="254">
        <v>11739.6</v>
      </c>
      <c r="H29" s="164"/>
      <c r="I29" s="167" t="s">
        <v>189</v>
      </c>
      <c r="J29" s="166" t="s">
        <v>3</v>
      </c>
      <c r="K29" s="195" t="s">
        <v>207</v>
      </c>
    </row>
    <row r="30" spans="1:11" ht="12.75">
      <c r="A30" s="28">
        <v>13</v>
      </c>
      <c r="B30" s="138" t="s">
        <v>149</v>
      </c>
      <c r="C30" s="162" t="s">
        <v>200</v>
      </c>
      <c r="D30" s="214"/>
      <c r="E30" s="140"/>
      <c r="F30" s="137"/>
      <c r="G30" s="254">
        <f>3024</f>
        <v>3024</v>
      </c>
      <c r="H30" s="164"/>
      <c r="I30" s="167" t="s">
        <v>189</v>
      </c>
      <c r="J30" s="221" t="s">
        <v>3</v>
      </c>
      <c r="K30" s="185"/>
    </row>
    <row r="31" spans="1:11" ht="12.75">
      <c r="A31" s="28">
        <v>14</v>
      </c>
      <c r="B31" s="138"/>
      <c r="C31" s="159"/>
      <c r="D31" s="215"/>
      <c r="E31" s="140"/>
      <c r="F31" s="141"/>
      <c r="G31" s="176"/>
      <c r="H31" s="140"/>
      <c r="I31" s="140"/>
      <c r="J31" s="139"/>
      <c r="K31" s="170"/>
    </row>
    <row r="32" spans="1:11" ht="12.75">
      <c r="A32" s="28">
        <v>15</v>
      </c>
      <c r="B32" s="138"/>
      <c r="C32" s="159"/>
      <c r="D32" s="215"/>
      <c r="E32" s="140"/>
      <c r="F32" s="141"/>
      <c r="G32" s="176"/>
      <c r="H32" s="140"/>
      <c r="I32" s="4"/>
      <c r="J32" s="139"/>
      <c r="K32" s="195"/>
    </row>
    <row r="33" spans="1:11" ht="12.75">
      <c r="A33" s="28">
        <v>16</v>
      </c>
      <c r="B33" s="27"/>
      <c r="C33" s="22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96">
        <v>17</v>
      </c>
      <c r="B34" s="97"/>
      <c r="C34" s="98"/>
      <c r="D34" s="99"/>
      <c r="E34" s="100"/>
      <c r="F34" s="101"/>
      <c r="G34" s="102"/>
      <c r="H34" s="100"/>
      <c r="I34" s="100"/>
      <c r="J34" s="99"/>
      <c r="K34" s="103"/>
    </row>
    <row r="35" spans="1:11" ht="13.5" thickBot="1">
      <c r="A35" s="74"/>
      <c r="B35" s="75"/>
      <c r="C35" s="43"/>
      <c r="D35" s="76"/>
      <c r="E35" s="21"/>
      <c r="F35" s="73"/>
      <c r="G35" s="36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200000</v>
      </c>
      <c r="G36" s="44">
        <f>SUM(G18:G34)</f>
        <v>325156.38999999996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F19</f>
        <v>50000</v>
      </c>
      <c r="G37" s="42">
        <v>0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150000</v>
      </c>
      <c r="G38" s="42">
        <f>G36-G37</f>
        <v>325156.38999999996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219788.59999999998</v>
      </c>
      <c r="G39" s="46">
        <f>G16-G36</f>
        <v>82508.22000000003</v>
      </c>
      <c r="H39" s="294"/>
      <c r="I39" s="295"/>
      <c r="J39" s="29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0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0" t="s">
        <v>168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K6:K7"/>
    <mergeCell ref="H6:H7"/>
    <mergeCell ref="I6:I7"/>
    <mergeCell ref="J6:J7"/>
    <mergeCell ref="F6:F7"/>
    <mergeCell ref="A9:K9"/>
    <mergeCell ref="G6:G7"/>
    <mergeCell ref="A39:E39"/>
    <mergeCell ref="H39:J39"/>
    <mergeCell ref="A11:E11"/>
    <mergeCell ref="D6:D7"/>
    <mergeCell ref="E6:E7"/>
    <mergeCell ref="A36:E36"/>
    <mergeCell ref="A14:E14"/>
    <mergeCell ref="H15:K15"/>
    <mergeCell ref="A15:E15"/>
    <mergeCell ref="H11:K11"/>
    <mergeCell ref="H16:J16"/>
    <mergeCell ref="A13:E13"/>
    <mergeCell ref="H13:J13"/>
    <mergeCell ref="A12:E12"/>
    <mergeCell ref="H12:J12"/>
    <mergeCell ref="H14:K14"/>
    <mergeCell ref="H37:J37"/>
    <mergeCell ref="B38:E38"/>
    <mergeCell ref="H38:J38"/>
    <mergeCell ref="B37:E37"/>
    <mergeCell ref="A16:E16"/>
    <mergeCell ref="H36:J36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2">
      <selection activeCell="G21" sqref="G2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41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15</v>
      </c>
      <c r="D10" s="17">
        <v>5787</v>
      </c>
      <c r="E10" s="18" t="s">
        <v>5</v>
      </c>
      <c r="F10" s="19"/>
      <c r="G10" s="121"/>
      <c r="H10" s="11" t="s">
        <v>7</v>
      </c>
      <c r="I10" s="12">
        <v>2.3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v>86208.15</v>
      </c>
      <c r="G11" s="44">
        <v>86208.15</v>
      </c>
      <c r="H11" s="337"/>
      <c r="I11" s="334"/>
      <c r="J11" s="334"/>
      <c r="K11" s="338"/>
    </row>
    <row r="12" spans="1:11" s="14" customFormat="1" ht="13.5" customHeight="1">
      <c r="A12" s="298" t="s">
        <v>24</v>
      </c>
      <c r="B12" s="299"/>
      <c r="C12" s="299"/>
      <c r="D12" s="299"/>
      <c r="E12" s="299"/>
      <c r="F12" s="41">
        <v>170000</v>
      </c>
      <c r="G12" s="205">
        <v>159721.2</v>
      </c>
      <c r="H12" s="302"/>
      <c r="I12" s="303"/>
      <c r="J12" s="303"/>
      <c r="K12" s="53"/>
    </row>
    <row r="13" spans="1:11" s="14" customFormat="1" ht="13.5" customHeight="1">
      <c r="A13" s="298" t="s">
        <v>28</v>
      </c>
      <c r="B13" s="299"/>
      <c r="C13" s="299"/>
      <c r="D13" s="299"/>
      <c r="E13" s="299"/>
      <c r="F13" s="41">
        <f>-(D10*12*0)</f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41">
        <v>0</v>
      </c>
      <c r="G14" s="41">
        <v>0</v>
      </c>
      <c r="H14" s="306"/>
      <c r="I14" s="307"/>
      <c r="J14" s="307"/>
      <c r="K14" s="308"/>
    </row>
    <row r="15" spans="1:11" s="14" customFormat="1" ht="13.5" customHeight="1">
      <c r="A15" s="298" t="s">
        <v>63</v>
      </c>
      <c r="B15" s="299"/>
      <c r="C15" s="299"/>
      <c r="D15" s="299"/>
      <c r="E15" s="299"/>
      <c r="F15" s="41">
        <v>0</v>
      </c>
      <c r="G15" s="41">
        <v>0</v>
      </c>
      <c r="H15" s="304"/>
      <c r="I15" s="303"/>
      <c r="J15" s="303"/>
      <c r="K15" s="305"/>
    </row>
    <row r="16" spans="1:11" s="39" customFormat="1" ht="12.75" customHeight="1" thickBot="1">
      <c r="A16" s="292" t="s">
        <v>72</v>
      </c>
      <c r="B16" s="293"/>
      <c r="C16" s="293"/>
      <c r="D16" s="293"/>
      <c r="E16" s="293"/>
      <c r="F16" s="45">
        <f>F11+F12+F13+F14+F15</f>
        <v>256208.15</v>
      </c>
      <c r="G16" s="45">
        <f>G11+G12+G13+G14+G15</f>
        <v>245929.35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07">
        <v>1</v>
      </c>
      <c r="B18" s="90" t="s">
        <v>19</v>
      </c>
      <c r="C18" s="90" t="s">
        <v>99</v>
      </c>
      <c r="D18" s="85"/>
      <c r="E18" s="85"/>
      <c r="F18" s="91">
        <v>200000</v>
      </c>
      <c r="G18" s="179"/>
      <c r="H18" s="109"/>
      <c r="I18" s="85"/>
      <c r="J18" s="211" t="s">
        <v>3</v>
      </c>
      <c r="K18" s="207" t="s">
        <v>152</v>
      </c>
    </row>
    <row r="19" spans="1:11" ht="12.75">
      <c r="A19" s="29">
        <v>2</v>
      </c>
      <c r="B19" s="22" t="s">
        <v>19</v>
      </c>
      <c r="C19" s="22" t="s">
        <v>18</v>
      </c>
      <c r="D19" s="2"/>
      <c r="E19" s="2"/>
      <c r="F19" s="3">
        <v>50000</v>
      </c>
      <c r="G19" s="175"/>
      <c r="H19" s="65"/>
      <c r="I19" s="2"/>
      <c r="J19" s="217" t="s">
        <v>4</v>
      </c>
      <c r="K19" s="219"/>
    </row>
    <row r="20" spans="1:11" ht="12.75">
      <c r="A20" s="29">
        <v>3</v>
      </c>
      <c r="B20" s="223" t="s">
        <v>19</v>
      </c>
      <c r="C20" s="223" t="s">
        <v>135</v>
      </c>
      <c r="D20" s="167"/>
      <c r="E20" s="167"/>
      <c r="F20" s="247"/>
      <c r="G20" s="269">
        <v>5963.87</v>
      </c>
      <c r="H20" s="173"/>
      <c r="I20" s="167">
        <v>2022</v>
      </c>
      <c r="J20" s="248" t="s">
        <v>3</v>
      </c>
      <c r="K20" s="169"/>
    </row>
    <row r="21" spans="1:11" ht="12.75">
      <c r="A21" s="29">
        <v>4</v>
      </c>
      <c r="B21" s="143" t="s">
        <v>19</v>
      </c>
      <c r="C21" s="143" t="s">
        <v>153</v>
      </c>
      <c r="D21" s="88"/>
      <c r="E21" s="88"/>
      <c r="F21" s="153"/>
      <c r="G21" s="256">
        <v>245020.7</v>
      </c>
      <c r="H21" s="164"/>
      <c r="I21" s="88" t="s">
        <v>161</v>
      </c>
      <c r="J21" s="221" t="s">
        <v>3</v>
      </c>
      <c r="K21" s="245" t="s">
        <v>196</v>
      </c>
    </row>
    <row r="22" spans="1:11" ht="12.75">
      <c r="A22" s="29">
        <v>5</v>
      </c>
      <c r="B22" s="162"/>
      <c r="C22" s="162"/>
      <c r="D22" s="140"/>
      <c r="E22" s="140"/>
      <c r="F22" s="137"/>
      <c r="G22" s="254"/>
      <c r="H22" s="140"/>
      <c r="I22" s="167"/>
      <c r="J22" s="166"/>
      <c r="K22" s="169"/>
    </row>
    <row r="23" spans="1:11" ht="12.75">
      <c r="A23" s="23">
        <v>6</v>
      </c>
      <c r="B23" s="143"/>
      <c r="C23" s="143"/>
      <c r="D23" s="88"/>
      <c r="E23" s="88"/>
      <c r="F23" s="153"/>
      <c r="G23" s="180"/>
      <c r="H23" s="140"/>
      <c r="I23" s="88"/>
      <c r="J23" s="144"/>
      <c r="K23" s="170"/>
    </row>
    <row r="24" spans="1:11" ht="12.75">
      <c r="A24" s="28">
        <v>7</v>
      </c>
      <c r="B24" s="160"/>
      <c r="C24" s="136"/>
      <c r="D24" s="144"/>
      <c r="E24" s="88"/>
      <c r="F24" s="145"/>
      <c r="G24" s="180"/>
      <c r="H24" s="88"/>
      <c r="I24" s="88"/>
      <c r="J24" s="144"/>
      <c r="K24" s="170"/>
    </row>
    <row r="25" spans="1:11" ht="12.75">
      <c r="A25" s="28">
        <v>8</v>
      </c>
      <c r="B25" s="138"/>
      <c r="C25" s="159"/>
      <c r="D25" s="139"/>
      <c r="E25" s="140"/>
      <c r="F25" s="141"/>
      <c r="G25" s="176"/>
      <c r="H25" s="140"/>
      <c r="I25" s="140"/>
      <c r="J25" s="144"/>
      <c r="K25" s="170"/>
    </row>
    <row r="26" spans="1:11" ht="12.75">
      <c r="A26" s="28">
        <v>9</v>
      </c>
      <c r="B26" s="138"/>
      <c r="C26" s="159"/>
      <c r="D26" s="139"/>
      <c r="E26" s="140"/>
      <c r="F26" s="141"/>
      <c r="G26" s="137"/>
      <c r="H26" s="140"/>
      <c r="I26" s="140"/>
      <c r="J26" s="139"/>
      <c r="K26" s="170"/>
    </row>
    <row r="27" spans="1:11" ht="12.75">
      <c r="A27" s="28">
        <v>10</v>
      </c>
      <c r="B27" s="138"/>
      <c r="C27" s="159"/>
      <c r="D27" s="139" t="s">
        <v>65</v>
      </c>
      <c r="E27" s="140"/>
      <c r="F27" s="141"/>
      <c r="G27" s="137"/>
      <c r="H27" s="140"/>
      <c r="I27" s="140"/>
      <c r="J27" s="139"/>
      <c r="K27" s="170"/>
    </row>
    <row r="28" spans="1:11" ht="12.75">
      <c r="A28" s="28">
        <v>11</v>
      </c>
      <c r="B28" s="138"/>
      <c r="C28" s="159"/>
      <c r="D28" s="139"/>
      <c r="E28" s="140"/>
      <c r="F28" s="141"/>
      <c r="G28" s="137"/>
      <c r="H28" s="140"/>
      <c r="I28" s="140"/>
      <c r="J28" s="139"/>
      <c r="K28" s="170"/>
    </row>
    <row r="29" spans="1:11" ht="12.75">
      <c r="A29" s="28">
        <v>12</v>
      </c>
      <c r="B29" s="138"/>
      <c r="C29" s="159"/>
      <c r="D29" s="139"/>
      <c r="E29" s="140"/>
      <c r="F29" s="141"/>
      <c r="G29" s="137"/>
      <c r="H29" s="140"/>
      <c r="I29" s="140"/>
      <c r="J29" s="139"/>
      <c r="K29" s="170"/>
    </row>
    <row r="30" spans="1:11" ht="12.75">
      <c r="A30" s="28">
        <v>13</v>
      </c>
      <c r="B30" s="138"/>
      <c r="C30" s="159"/>
      <c r="D30" s="139"/>
      <c r="E30" s="140"/>
      <c r="F30" s="141"/>
      <c r="G30" s="137"/>
      <c r="H30" s="140"/>
      <c r="I30" s="140"/>
      <c r="J30" s="139"/>
      <c r="K30" s="170"/>
    </row>
    <row r="31" spans="1:11" ht="12.75">
      <c r="A31" s="28">
        <v>14</v>
      </c>
      <c r="B31" s="138"/>
      <c r="C31" s="159"/>
      <c r="D31" s="139"/>
      <c r="E31" s="140"/>
      <c r="F31" s="141"/>
      <c r="G31" s="137"/>
      <c r="H31" s="140"/>
      <c r="I31" s="140"/>
      <c r="J31" s="139"/>
      <c r="K31" s="170"/>
    </row>
    <row r="32" spans="1:11" ht="12.75">
      <c r="A32" s="28">
        <v>15</v>
      </c>
      <c r="B32" s="138"/>
      <c r="C32" s="159"/>
      <c r="D32" s="139"/>
      <c r="E32" s="140"/>
      <c r="F32" s="141"/>
      <c r="G32" s="137"/>
      <c r="H32" s="140"/>
      <c r="I32" s="140"/>
      <c r="J32" s="139"/>
      <c r="K32" s="170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96">
        <v>17</v>
      </c>
      <c r="B34" s="97"/>
      <c r="C34" s="98"/>
      <c r="D34" s="99"/>
      <c r="E34" s="100"/>
      <c r="F34" s="101"/>
      <c r="G34" s="102"/>
      <c r="H34" s="100"/>
      <c r="I34" s="100"/>
      <c r="J34" s="99"/>
      <c r="K34" s="103"/>
    </row>
    <row r="35" spans="1:11" ht="13.5" thickBot="1">
      <c r="A35" s="74"/>
      <c r="B35" s="75"/>
      <c r="C35" s="43"/>
      <c r="D35" s="76"/>
      <c r="E35" s="21"/>
      <c r="F35" s="73"/>
      <c r="G35" s="36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250000</v>
      </c>
      <c r="G36" s="44">
        <f>SUM(G18:G34)</f>
        <v>250984.57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F19</f>
        <v>50000</v>
      </c>
      <c r="G37" s="42">
        <v>0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200000</v>
      </c>
      <c r="G38" s="42">
        <f>G36-G37</f>
        <v>250984.57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6208.149999999994</v>
      </c>
      <c r="G39" s="46">
        <f>G16-G36</f>
        <v>-5055.220000000001</v>
      </c>
      <c r="H39" s="294"/>
      <c r="I39" s="295"/>
      <c r="J39" s="29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0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0" t="s">
        <v>169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A15:E15"/>
    <mergeCell ref="A14:E14"/>
    <mergeCell ref="H15:K15"/>
    <mergeCell ref="H14:K1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3">
      <selection activeCell="J28" sqref="J28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19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125</v>
      </c>
      <c r="B1" s="10"/>
      <c r="C1" s="10"/>
      <c r="D1" s="10"/>
      <c r="E1" s="10"/>
      <c r="F1" s="6"/>
      <c r="G1" s="6"/>
      <c r="H1" s="10"/>
      <c r="I1" s="10"/>
      <c r="J1" s="10" t="s">
        <v>187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88" t="s">
        <v>124</v>
      </c>
      <c r="I2" s="10"/>
      <c r="J2" s="10"/>
      <c r="K2" s="10"/>
    </row>
    <row r="3" spans="1:12" ht="12.7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8"/>
    </row>
    <row r="4" spans="1:11" ht="12.75" customHeight="1">
      <c r="A4" s="323" t="s">
        <v>186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25" t="s">
        <v>8</v>
      </c>
      <c r="B6" s="309" t="s">
        <v>0</v>
      </c>
      <c r="C6" s="309" t="s">
        <v>1</v>
      </c>
      <c r="D6" s="309" t="s">
        <v>9</v>
      </c>
      <c r="E6" s="309" t="s">
        <v>10</v>
      </c>
      <c r="F6" s="309" t="s">
        <v>81</v>
      </c>
      <c r="G6" s="327" t="s">
        <v>11</v>
      </c>
      <c r="H6" s="309" t="s">
        <v>12</v>
      </c>
      <c r="I6" s="309" t="s">
        <v>13</v>
      </c>
      <c r="J6" s="309" t="s">
        <v>14</v>
      </c>
      <c r="K6" s="329" t="s">
        <v>2</v>
      </c>
    </row>
    <row r="7" spans="1:11" ht="13.5" thickBot="1">
      <c r="A7" s="326"/>
      <c r="B7" s="310"/>
      <c r="C7" s="310"/>
      <c r="D7" s="310"/>
      <c r="E7" s="310"/>
      <c r="F7" s="310"/>
      <c r="G7" s="328"/>
      <c r="H7" s="310"/>
      <c r="I7" s="310"/>
      <c r="J7" s="310"/>
      <c r="K7" s="330"/>
    </row>
    <row r="8" spans="1:11" ht="13.5" thickBot="1">
      <c r="A8" s="37"/>
      <c r="B8" s="37"/>
      <c r="C8" s="37"/>
      <c r="D8" s="37"/>
      <c r="E8" s="37"/>
      <c r="F8" s="37"/>
      <c r="G8" s="120"/>
      <c r="H8" s="37"/>
      <c r="I8" s="37"/>
      <c r="J8" s="37"/>
      <c r="K8" s="37"/>
    </row>
    <row r="9" spans="1:11" ht="21" customHeight="1" thickBot="1">
      <c r="A9" s="311" t="s">
        <v>42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s="14" customFormat="1" ht="12.75" customHeight="1" thickBot="1">
      <c r="A10" s="15"/>
      <c r="B10" s="16"/>
      <c r="C10" s="16" t="s">
        <v>15</v>
      </c>
      <c r="D10" s="17">
        <v>13611.2</v>
      </c>
      <c r="E10" s="18" t="s">
        <v>5</v>
      </c>
      <c r="F10" s="19"/>
      <c r="G10" s="121"/>
      <c r="H10" s="11" t="s">
        <v>7</v>
      </c>
      <c r="I10" s="12">
        <v>1.6</v>
      </c>
      <c r="J10" s="13" t="s">
        <v>6</v>
      </c>
      <c r="K10" s="20"/>
    </row>
    <row r="11" spans="1:11" s="14" customFormat="1" ht="13.5" customHeight="1">
      <c r="A11" s="288" t="s">
        <v>83</v>
      </c>
      <c r="B11" s="289"/>
      <c r="C11" s="289"/>
      <c r="D11" s="289"/>
      <c r="E11" s="289"/>
      <c r="F11" s="44">
        <v>212864.48</v>
      </c>
      <c r="G11" s="44">
        <v>212853.51</v>
      </c>
      <c r="H11" s="337"/>
      <c r="I11" s="334"/>
      <c r="J11" s="334"/>
      <c r="K11" s="338"/>
    </row>
    <row r="12" spans="1:11" s="14" customFormat="1" ht="13.5" customHeight="1">
      <c r="A12" s="298" t="s">
        <v>24</v>
      </c>
      <c r="B12" s="299"/>
      <c r="C12" s="299"/>
      <c r="D12" s="299"/>
      <c r="E12" s="299"/>
      <c r="F12" s="41">
        <v>260000</v>
      </c>
      <c r="G12" s="205">
        <f>28281.6+28325.76+28335.36+28260.48+148131.84</f>
        <v>261335.03999999998</v>
      </c>
      <c r="H12" s="302"/>
      <c r="I12" s="303"/>
      <c r="J12" s="303"/>
      <c r="K12" s="53"/>
    </row>
    <row r="13" spans="1:11" s="14" customFormat="1" ht="13.5" customHeight="1">
      <c r="A13" s="298" t="s">
        <v>28</v>
      </c>
      <c r="B13" s="299"/>
      <c r="C13" s="299"/>
      <c r="D13" s="299"/>
      <c r="E13" s="299"/>
      <c r="F13" s="41">
        <f>-(D10*12*0)</f>
        <v>0</v>
      </c>
      <c r="G13" s="41">
        <v>0</v>
      </c>
      <c r="H13" s="302"/>
      <c r="I13" s="303"/>
      <c r="J13" s="303"/>
      <c r="K13" s="53"/>
    </row>
    <row r="14" spans="1:11" s="40" customFormat="1" ht="12.75" customHeight="1">
      <c r="A14" s="300" t="s">
        <v>32</v>
      </c>
      <c r="B14" s="301"/>
      <c r="C14" s="301"/>
      <c r="D14" s="301"/>
      <c r="E14" s="301"/>
      <c r="F14" s="41">
        <v>0</v>
      </c>
      <c r="G14" s="41">
        <v>0</v>
      </c>
      <c r="H14" s="306"/>
      <c r="I14" s="307"/>
      <c r="J14" s="307"/>
      <c r="K14" s="308"/>
    </row>
    <row r="15" spans="1:11" s="14" customFormat="1" ht="13.5" customHeight="1">
      <c r="A15" s="298" t="s">
        <v>63</v>
      </c>
      <c r="B15" s="299"/>
      <c r="C15" s="299"/>
      <c r="D15" s="299"/>
      <c r="E15" s="299"/>
      <c r="F15" s="41">
        <v>0</v>
      </c>
      <c r="G15" s="41">
        <v>0</v>
      </c>
      <c r="H15" s="304"/>
      <c r="I15" s="303"/>
      <c r="J15" s="303"/>
      <c r="K15" s="305"/>
    </row>
    <row r="16" spans="1:11" s="39" customFormat="1" ht="12.75" customHeight="1" thickBot="1">
      <c r="A16" s="292" t="s">
        <v>72</v>
      </c>
      <c r="B16" s="293"/>
      <c r="C16" s="293"/>
      <c r="D16" s="293"/>
      <c r="E16" s="293"/>
      <c r="F16" s="45">
        <f>F11+F12+F13+F14+F15</f>
        <v>472864.48</v>
      </c>
      <c r="G16" s="45">
        <f>G11+G12+G13+G14+G15</f>
        <v>474188.55</v>
      </c>
      <c r="H16" s="294"/>
      <c r="I16" s="295"/>
      <c r="J16" s="295"/>
      <c r="K16" s="54"/>
    </row>
    <row r="17" spans="1:11" s="79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07">
        <v>1</v>
      </c>
      <c r="B18" s="90" t="s">
        <v>101</v>
      </c>
      <c r="C18" s="90" t="s">
        <v>100</v>
      </c>
      <c r="D18" s="85" t="s">
        <v>98</v>
      </c>
      <c r="E18" s="85"/>
      <c r="F18" s="91">
        <v>170000</v>
      </c>
      <c r="G18" s="264">
        <v>185467.53</v>
      </c>
      <c r="H18" s="82"/>
      <c r="I18" s="83" t="s">
        <v>189</v>
      </c>
      <c r="J18" s="82" t="s">
        <v>3</v>
      </c>
      <c r="K18" s="220"/>
    </row>
    <row r="19" spans="1:11" ht="12.75">
      <c r="A19" s="29">
        <v>2</v>
      </c>
      <c r="B19" s="22" t="s">
        <v>102</v>
      </c>
      <c r="C19" s="22" t="s">
        <v>100</v>
      </c>
      <c r="D19" s="2" t="s">
        <v>98</v>
      </c>
      <c r="E19" s="2"/>
      <c r="F19" s="3">
        <v>170000</v>
      </c>
      <c r="G19" s="257">
        <v>185744.64</v>
      </c>
      <c r="H19" s="65"/>
      <c r="I19" s="2" t="s">
        <v>189</v>
      </c>
      <c r="J19" s="217" t="s">
        <v>3</v>
      </c>
      <c r="K19" s="32"/>
    </row>
    <row r="20" spans="1:11" ht="12.75">
      <c r="A20" s="29">
        <v>3</v>
      </c>
      <c r="B20" s="22" t="s">
        <v>103</v>
      </c>
      <c r="C20" s="22" t="s">
        <v>100</v>
      </c>
      <c r="D20" s="2" t="s">
        <v>98</v>
      </c>
      <c r="E20" s="2"/>
      <c r="F20" s="3">
        <v>170000</v>
      </c>
      <c r="G20" s="257">
        <v>185804.88</v>
      </c>
      <c r="H20" s="65"/>
      <c r="I20" s="2" t="s">
        <v>189</v>
      </c>
      <c r="J20" s="217" t="s">
        <v>3</v>
      </c>
      <c r="K20" s="169"/>
    </row>
    <row r="21" spans="1:11" ht="12.75">
      <c r="A21" s="29">
        <v>4</v>
      </c>
      <c r="B21" s="22" t="s">
        <v>104</v>
      </c>
      <c r="C21" s="22" t="s">
        <v>100</v>
      </c>
      <c r="D21" s="2" t="s">
        <v>98</v>
      </c>
      <c r="E21" s="2"/>
      <c r="F21" s="3">
        <v>170000</v>
      </c>
      <c r="G21" s="257">
        <v>185335.01</v>
      </c>
      <c r="H21" s="65"/>
      <c r="I21" s="2" t="s">
        <v>189</v>
      </c>
      <c r="J21" s="217" t="s">
        <v>3</v>
      </c>
      <c r="K21" s="169"/>
    </row>
    <row r="22" spans="1:11" ht="12.75">
      <c r="A22" s="29">
        <v>5</v>
      </c>
      <c r="B22" s="22" t="s">
        <v>108</v>
      </c>
      <c r="C22" s="122" t="s">
        <v>106</v>
      </c>
      <c r="D22" s="2">
        <v>562</v>
      </c>
      <c r="E22" s="2"/>
      <c r="F22" s="64">
        <f>D22*100</f>
        <v>56200</v>
      </c>
      <c r="G22" s="257"/>
      <c r="H22" s="65"/>
      <c r="I22" s="123"/>
      <c r="J22" s="217" t="s">
        <v>3</v>
      </c>
      <c r="K22" s="171" t="s">
        <v>202</v>
      </c>
    </row>
    <row r="23" spans="1:11" s="116" customFormat="1" ht="12.75">
      <c r="A23" s="115">
        <v>6</v>
      </c>
      <c r="B23" s="22" t="s">
        <v>26</v>
      </c>
      <c r="C23" s="122" t="s">
        <v>18</v>
      </c>
      <c r="D23" s="2"/>
      <c r="E23" s="2"/>
      <c r="F23" s="64">
        <v>20000</v>
      </c>
      <c r="G23" s="257"/>
      <c r="H23" s="65"/>
      <c r="I23" s="123"/>
      <c r="J23" s="217" t="s">
        <v>4</v>
      </c>
      <c r="K23" s="172"/>
    </row>
    <row r="24" spans="1:11" ht="12.75">
      <c r="A24" s="28">
        <v>7</v>
      </c>
      <c r="B24" s="143" t="s">
        <v>26</v>
      </c>
      <c r="C24" s="143" t="s">
        <v>195</v>
      </c>
      <c r="D24" s="88"/>
      <c r="E24" s="88"/>
      <c r="F24" s="153"/>
      <c r="G24" s="256">
        <f>656.75+1435.27+1431.48+3439.9</f>
        <v>6963.4</v>
      </c>
      <c r="H24" s="164"/>
      <c r="I24" s="88" t="s">
        <v>161</v>
      </c>
      <c r="J24" s="221" t="s">
        <v>3</v>
      </c>
      <c r="K24" s="170"/>
    </row>
    <row r="25" spans="1:11" ht="12.75">
      <c r="A25" s="28">
        <v>8</v>
      </c>
      <c r="B25" s="162" t="s">
        <v>184</v>
      </c>
      <c r="C25" s="159" t="s">
        <v>154</v>
      </c>
      <c r="D25" s="139"/>
      <c r="E25" s="140"/>
      <c r="F25" s="141"/>
      <c r="G25" s="254">
        <f>20736+13520</f>
        <v>34256</v>
      </c>
      <c r="H25" s="140"/>
      <c r="I25" s="140">
        <v>2022</v>
      </c>
      <c r="J25" s="144" t="s">
        <v>3</v>
      </c>
      <c r="K25" s="170"/>
    </row>
    <row r="26" spans="1:11" ht="12.75">
      <c r="A26" s="28">
        <v>9</v>
      </c>
      <c r="B26" s="143" t="s">
        <v>108</v>
      </c>
      <c r="C26" s="143" t="s">
        <v>136</v>
      </c>
      <c r="D26" s="88" t="s">
        <v>203</v>
      </c>
      <c r="E26" s="88"/>
      <c r="F26" s="153"/>
      <c r="G26" s="256">
        <v>16956</v>
      </c>
      <c r="H26" s="164"/>
      <c r="I26" s="88" t="s">
        <v>161</v>
      </c>
      <c r="J26" s="221" t="s">
        <v>3</v>
      </c>
      <c r="K26" s="170"/>
    </row>
    <row r="27" spans="1:11" ht="12.75">
      <c r="A27" s="28">
        <v>10</v>
      </c>
      <c r="B27" s="143" t="s">
        <v>108</v>
      </c>
      <c r="C27" s="159" t="s">
        <v>204</v>
      </c>
      <c r="D27" s="139"/>
      <c r="E27" s="140"/>
      <c r="F27" s="141"/>
      <c r="G27" s="254">
        <v>6971.98</v>
      </c>
      <c r="H27" s="140"/>
      <c r="I27" s="140" t="s">
        <v>189</v>
      </c>
      <c r="J27" s="139" t="s">
        <v>3</v>
      </c>
      <c r="K27" s="170"/>
    </row>
    <row r="28" spans="1:11" ht="12.75">
      <c r="A28" s="28">
        <v>11</v>
      </c>
      <c r="B28" s="138"/>
      <c r="C28" s="159"/>
      <c r="D28" s="139"/>
      <c r="E28" s="140"/>
      <c r="F28" s="141"/>
      <c r="G28" s="137"/>
      <c r="H28" s="140"/>
      <c r="I28" s="140"/>
      <c r="J28" s="139"/>
      <c r="K28" s="170"/>
    </row>
    <row r="29" spans="1:11" ht="12.75">
      <c r="A29" s="28">
        <v>12</v>
      </c>
      <c r="B29" s="138"/>
      <c r="C29" s="159"/>
      <c r="D29" s="139"/>
      <c r="E29" s="140"/>
      <c r="F29" s="141"/>
      <c r="G29" s="137"/>
      <c r="H29" s="140"/>
      <c r="I29" s="140"/>
      <c r="J29" s="139"/>
      <c r="K29" s="170"/>
    </row>
    <row r="30" spans="1:11" ht="12.75">
      <c r="A30" s="28">
        <v>13</v>
      </c>
      <c r="B30" s="138"/>
      <c r="C30" s="159"/>
      <c r="D30" s="139"/>
      <c r="E30" s="140"/>
      <c r="F30" s="141"/>
      <c r="G30" s="137"/>
      <c r="H30" s="140"/>
      <c r="I30" s="140"/>
      <c r="J30" s="139"/>
      <c r="K30" s="170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96">
        <v>17</v>
      </c>
      <c r="B34" s="97"/>
      <c r="C34" s="98"/>
      <c r="D34" s="99"/>
      <c r="E34" s="100"/>
      <c r="F34" s="101"/>
      <c r="G34" s="102"/>
      <c r="H34" s="100"/>
      <c r="I34" s="100"/>
      <c r="J34" s="99"/>
      <c r="K34" s="103"/>
    </row>
    <row r="35" spans="1:11" ht="13.5" thickBot="1">
      <c r="A35" s="74"/>
      <c r="B35" s="75"/>
      <c r="C35" s="43"/>
      <c r="D35" s="76"/>
      <c r="E35" s="21"/>
      <c r="F35" s="73"/>
      <c r="G35" s="36"/>
      <c r="H35" s="21"/>
      <c r="I35" s="21"/>
      <c r="J35" s="76"/>
      <c r="K35" s="47"/>
    </row>
    <row r="36" spans="1:11" s="14" customFormat="1" ht="13.5" customHeight="1">
      <c r="A36" s="288" t="s">
        <v>74</v>
      </c>
      <c r="B36" s="289"/>
      <c r="C36" s="289"/>
      <c r="D36" s="289"/>
      <c r="E36" s="289"/>
      <c r="F36" s="44">
        <f>SUM(F18:F34)</f>
        <v>756200</v>
      </c>
      <c r="G36" s="44">
        <f>SUM(G18:G34)</f>
        <v>807499.4400000001</v>
      </c>
      <c r="H36" s="333"/>
      <c r="I36" s="334"/>
      <c r="J36" s="334"/>
      <c r="K36" s="87"/>
    </row>
    <row r="37" spans="1:11" s="14" customFormat="1" ht="13.5" customHeight="1">
      <c r="A37" s="104"/>
      <c r="B37" s="276" t="s">
        <v>4</v>
      </c>
      <c r="C37" s="277"/>
      <c r="D37" s="278"/>
      <c r="E37" s="279"/>
      <c r="F37" s="42">
        <f>F23</f>
        <v>20000</v>
      </c>
      <c r="G37" s="42">
        <v>0</v>
      </c>
      <c r="H37" s="331"/>
      <c r="I37" s="332"/>
      <c r="J37" s="332"/>
      <c r="K37" s="55"/>
    </row>
    <row r="38" spans="1:11" s="14" customFormat="1" ht="13.5" customHeight="1">
      <c r="A38" s="104"/>
      <c r="B38" s="296" t="s">
        <v>3</v>
      </c>
      <c r="C38" s="296"/>
      <c r="D38" s="297"/>
      <c r="E38" s="297"/>
      <c r="F38" s="42">
        <f>F36-F37</f>
        <v>736200</v>
      </c>
      <c r="G38" s="42">
        <f>G36-G37</f>
        <v>807499.4400000001</v>
      </c>
      <c r="H38" s="335"/>
      <c r="I38" s="336"/>
      <c r="J38" s="336"/>
      <c r="K38" s="35"/>
    </row>
    <row r="39" spans="1:11" s="14" customFormat="1" ht="13.5" customHeight="1" thickBot="1">
      <c r="A39" s="284" t="s">
        <v>80</v>
      </c>
      <c r="B39" s="285"/>
      <c r="C39" s="285"/>
      <c r="D39" s="285"/>
      <c r="E39" s="285"/>
      <c r="F39" s="46">
        <f>F16-F36</f>
        <v>-283335.52</v>
      </c>
      <c r="G39" s="46">
        <f>G16-G36</f>
        <v>-333310.8900000001</v>
      </c>
      <c r="H39" s="294"/>
      <c r="I39" s="295"/>
      <c r="J39" s="29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0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0" t="s">
        <v>170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A15:E15"/>
    <mergeCell ref="A14:E14"/>
    <mergeCell ref="H15:K15"/>
    <mergeCell ref="H14:K1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techniczny_nowy</dc:creator>
  <cp:keywords/>
  <dc:description/>
  <cp:lastModifiedBy>Jacek.Zarychta</cp:lastModifiedBy>
  <cp:lastPrinted>2023-02-06T15:07:31Z</cp:lastPrinted>
  <dcterms:created xsi:type="dcterms:W3CDTF">2010-10-22T05:56:20Z</dcterms:created>
  <dcterms:modified xsi:type="dcterms:W3CDTF">2023-02-06T15:42:11Z</dcterms:modified>
  <cp:category/>
  <cp:version/>
  <cp:contentType/>
  <cp:contentStatus/>
</cp:coreProperties>
</file>